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femtoingenierie-my.sharepoint.com/personal/florent_prudhomme_femtoingenierie_fr/Documents/PROJETS/ISY PV/Configurateur/"/>
    </mc:Choice>
  </mc:AlternateContent>
  <xr:revisionPtr revIDLastSave="203" documentId="8_{0784D391-D280-45C6-83EF-A414771164A2}" xr6:coauthVersionLast="47" xr6:coauthVersionMax="47" xr10:uidLastSave="{4220A621-EAC3-4CE3-ABCD-141B12643A50}"/>
  <workbookProtection workbookAlgorithmName="SHA-512" workbookHashValue="JfwbRmaEFaArVj7KqSrvLTlsYvPCJv97h4yv0LQlYSWDzIkzP+VK6cNNbAUAmfuRIwp7huHWR3Kkz+6OMixJDQ==" workbookSaltValue="gDFVzsVHfyIDw3L6YiMBXA==" workbookSpinCount="100000" lockStructure="1"/>
  <bookViews>
    <workbookView xWindow="-38520" yWindow="-10740" windowWidth="38640" windowHeight="21120" xr2:uid="{8F87F3B5-70F3-49F9-989D-0290D83C6478}"/>
  </bookViews>
  <sheets>
    <sheet name="Configurateur ISY-PV" sheetId="1" r:id="rId1"/>
    <sheet name="Bon de commande" sheetId="10" state="hidden" r:id="rId2"/>
    <sheet name="Rapport ISY-HOOK " sheetId="11" r:id="rId3"/>
    <sheet name="Rapport ISY-RAIL" sheetId="13" r:id="rId4"/>
    <sheet name="Données" sheetId="2" state="hidden" r:id="rId5"/>
    <sheet name="Logistique" sheetId="4" state="hidden" r:id="rId6"/>
    <sheet name="Mécanique" sheetId="7" state="hidden" r:id="rId7"/>
    <sheet name="EC1-Vent" sheetId="6" state="hidden" r:id="rId8"/>
    <sheet name="EC1-Neige" sheetId="8" state="hidden" r:id="rId9"/>
    <sheet name="EC1 - CC" sheetId="9" state="hidden" r:id="rId10"/>
    <sheet name="Config type" sheetId="3" state="hidden" r:id="rId11"/>
  </sheets>
  <definedNames>
    <definedName name="Alt_proj">'Configurateur ISY-PV'!$F$13</definedName>
    <definedName name="Articl_resist">Logistique!$I$3:$T$39</definedName>
    <definedName name="Article_desc">Logistique!$I$3:$I$39</definedName>
    <definedName name="article_list">Logistique!$Q$3:$Q$39</definedName>
    <definedName name="Article_nb">Logistique!$J$3:$J$39</definedName>
    <definedName name="Article_no">Logistique!$G$3:$G$40</definedName>
    <definedName name="brid_pann">Données!$C$6:$D$6</definedName>
    <definedName name="Calcul_champs_PV">Données!$D$51:$I$81</definedName>
    <definedName name="Cat_Terrain">'EC1-Vent'!$C$10:$G$10</definedName>
    <definedName name="Charp_type">Données!$C$11:$F$11</definedName>
    <definedName name="Charpente">'Config type'!$C$30:$G$30</definedName>
    <definedName name="choix_brid">Données!$C$37</definedName>
    <definedName name="Choix_calep">'Configurateur ISY-PV'!$D$38</definedName>
    <definedName name="choix_cat">'Configurateur ISY-PV'!$D$13</definedName>
    <definedName name="choix_charp">'Configurateur ISY-PV'!$D$25</definedName>
    <definedName name="choix_classe_bois">'Configurateur ISY-PV'!$D$26</definedName>
    <definedName name="choix_coul">'Configurateur ISY-PV'!$D$31</definedName>
    <definedName name="choix_couv">'Configurateur ISY-PV'!$D$17</definedName>
    <definedName name="Choix_croch">'Configurateur ISY-PV'!$D$30</definedName>
    <definedName name="Choix_etr">Logistique!$S$21</definedName>
    <definedName name="Choix_forme">'Configurateur ISY-PV'!$D$16</definedName>
    <definedName name="choix_impl">'Configurateur ISY-PV'!$N$29</definedName>
    <definedName name="choix_ISRA710">'Configurateur ISY-PV'!$D$33</definedName>
    <definedName name="choix_neige">'Configurateur ISY-PV'!$F$12</definedName>
    <definedName name="choix_nerv">'Configurateur ISY-PV'!$D$18</definedName>
    <definedName name="choix_vent">'Configurateur ISY-PV'!$D$12</definedName>
    <definedName name="Comp_calep">Données!$H$29</definedName>
    <definedName name="comp_charp">Données!$H$30</definedName>
    <definedName name="Comp_croch">Données!$H$28</definedName>
    <definedName name="Couleur">Données!$C$4:$D$4</definedName>
    <definedName name="Couverture">'Config type'!$C$2:$H$2</definedName>
    <definedName name="cpe_bi">'EC1 - CC'!$Q$18:$S$22</definedName>
    <definedName name="Cpe_mono">'EC1 - CC'!$C$11:$E$17</definedName>
    <definedName name="Cr_Z">'EC1-Vent'!$B$10:$G$12</definedName>
    <definedName name="croch_comp">'Config type'!$B$16:$B$21</definedName>
    <definedName name="croch_lign">Données!$C$63</definedName>
    <definedName name="déb_bri">Données!$C$46</definedName>
    <definedName name="deb_croch">Données!$C$45</definedName>
    <definedName name="Dim_centre_haut_BP">Données!$D$24</definedName>
    <definedName name="Dim_centre_haut_MP">Données!$D$23</definedName>
    <definedName name="Dim_centre_long">Données!$F$23</definedName>
    <definedName name="dim_egout_long">Données!$D$25</definedName>
    <definedName name="Dim_rive_haut_BP">Données!$F$25</definedName>
    <definedName name="Dim_rive_haut_MP">Données!$F$24</definedName>
    <definedName name="dist_fait">Données!$C$42</definedName>
    <definedName name="dist_rive">Données!$C$43</definedName>
    <definedName name="Dom_emploi">'Config type'!$C$23:$H$26</definedName>
    <definedName name="Entr_chev">'Configurateur ISY-PV'!$D$27</definedName>
    <definedName name="entr_croch_max">Données!$C$38</definedName>
    <definedName name="Entr_croch_min">Données!$C$39</definedName>
    <definedName name="Entr_panne">'Configurateur ISY-PV'!#REF!</definedName>
    <definedName name="Entr_panne_max">Données!$C$40</definedName>
    <definedName name="entr_plot">'EC1-Vent'!$J$53:$J$54</definedName>
    <definedName name="espac_nerv">'Config type'!$B$50:$B$53</definedName>
    <definedName name="G_droit">'EC1 - CC'!$G$3</definedName>
    <definedName name="G_paral">'EC1 - CC'!$G$4</definedName>
    <definedName name="haut_bat">'Configurateur ISY-PV'!$D$19</definedName>
    <definedName name="Haut_Champs_PV">Données!$C$52</definedName>
    <definedName name="im_hook">Données!$B$103</definedName>
    <definedName name="im_rail">Données!$B$104</definedName>
    <definedName name="Im_system">IF('Configurateur ISY-PV'!$D$17='Config type'!$H$2,im_rail,im_hook)</definedName>
    <definedName name="Im_toit">IF('Configurateur ISY-PV'!$D$16=Données!$C$14,Im_toit_MP,Im_toit_BP)</definedName>
    <definedName name="Im_toit_BP">Données!$L$19:$R$37</definedName>
    <definedName name="Im_toit_MP">Données!$L$2:$R$18</definedName>
    <definedName name="Implant_PV">Données!$C$88:$H$88</definedName>
    <definedName name="Interail">Données!$C$49</definedName>
    <definedName name="interligne">Données!$C$47</definedName>
    <definedName name="larg_bri_int">Données!$C$48</definedName>
    <definedName name="Larg_Champs_PV">Données!$C$53</definedName>
    <definedName name="list_materiel">Logistique!$A$3:$R$39</definedName>
    <definedName name="load_proj_BP">'EC1 - CC'!$C$47:$L$51</definedName>
    <definedName name="load_proj_MP">'EC1 - CC'!$C$41:$L$46</definedName>
    <definedName name="load_proj_type">'EC1 - CC'!$C$37:$L$37</definedName>
    <definedName name="Logist">Logistique!$F$7:$K$44</definedName>
    <definedName name="Long_rail">'Configurateur ISY-PV'!$D$32</definedName>
    <definedName name="long_utile">Données!$C$80</definedName>
    <definedName name="Micro">'Configurateur ISY-PV'!$D$34</definedName>
    <definedName name="Micro_fact">Données!$C$7:$G$9</definedName>
    <definedName name="mod_charg_adm">'Configurateur ISY-PV'!$H$34:$I$36</definedName>
    <definedName name="mod_ep">'Configurateur ISY-PV'!$H$32</definedName>
    <definedName name="mod_haut">'Configurateur ISY-PV'!$H$30</definedName>
    <definedName name="mod_larg">'Configurateur ISY-PV'!$H$31</definedName>
    <definedName name="mod_poids">'Configurateur ISY-PV'!$J$31</definedName>
    <definedName name="Mode_pose">'Config type'!$B$31:$B$33</definedName>
    <definedName name="Module_Area">'EC1-Vent'!$M$8</definedName>
    <definedName name="mult_rail">Données!$C$59</definedName>
    <definedName name="mult_rail_crois">Données!$C$71</definedName>
    <definedName name="Nb_bride_exter">Données!$C$76</definedName>
    <definedName name="Nb_bride_inter">Données!$C$77</definedName>
    <definedName name="nb_colonne">'Configurateur ISY-PV'!$D$40</definedName>
    <definedName name="Nb_conn_crois">Données!$C$75</definedName>
    <definedName name="Nb_croch">Données!$C$64</definedName>
    <definedName name="nb_ligne">'Configurateur ISY-PV'!$D$39</definedName>
    <definedName name="Nb_racc">Données!$C$62</definedName>
    <definedName name="Nb_racc_crois">Données!$C$74</definedName>
    <definedName name="Nb_rail">Données!$C$60</definedName>
    <definedName name="Nb_Rail_crois">Données!$C$72</definedName>
    <definedName name="Neige_Charges">'EC1-Neige'!$B$4:$F$11</definedName>
    <definedName name="Neige_Zones">'EC1-Neige'!$B$4:$B$11</definedName>
    <definedName name="NOK">Données!$D$87</definedName>
    <definedName name="OK">Données!$C$87</definedName>
    <definedName name="PaF_max">Données!$C$44</definedName>
    <definedName name="PaF_utile">Données!$C$81</definedName>
    <definedName name="panne_type">Données!$C$10:$D$10</definedName>
    <definedName name="pente">'Configurateur ISY-PV'!$D$22</definedName>
    <definedName name="Pmodule_asc">'Configurateur ISY-PV'!$H$35</definedName>
    <definedName name="Pmodule_desc">'Configurateur ISY-PV'!$H$36</definedName>
    <definedName name="Porte_a_faux">Données!$C$65</definedName>
    <definedName name="pos_etr_calep">Données!$H$4:$I$9</definedName>
    <definedName name="proj_dir">'Configurateur ISY-PV'!$D$8</definedName>
    <definedName name="proj_dir2">'Configurateur ISY-PV'!$D$9</definedName>
    <definedName name="proj_name">'Configurateur ISY-PV'!$D$7</definedName>
    <definedName name="proj_ref">'Configurateur ISY-PV'!$D$4</definedName>
    <definedName name="Qpz">'EC1-Vent'!$N$22</definedName>
    <definedName name="Racc_crois">Données!$C$73</definedName>
    <definedName name="Racc_lign">Données!$C$61</definedName>
    <definedName name="Rail">'Config type'!$B$44:$B$47</definedName>
    <definedName name="RAIL_cont_max">Mécanique!$D$6</definedName>
    <definedName name="rail_crois_ligne">Données!$C$66</definedName>
    <definedName name="Rail_découp_ader">Données!$C$57</definedName>
    <definedName name="rail_découp_der">Données!$C$56</definedName>
    <definedName name="RAIL_fibre">Mécanique!$D$3</definedName>
    <definedName name="RAIL_Inertia">Mécanique!$D$4</definedName>
    <definedName name="rail_ligne">Données!$C$54</definedName>
    <definedName name="RAIL_Sécu">Mécanique!$D$7</definedName>
    <definedName name="Rail24Black">Logistique!$H$7</definedName>
    <definedName name="railc_decoup_ader">Données!$C$69</definedName>
    <definedName name="railc_decoup_der">Données!$C$68</definedName>
    <definedName name="Report_pic_bat">IF(Choix_forme="monopan",Données!$U$2,Données!$U$13)</definedName>
    <definedName name="Resist_syst">'EC1-Vent'!$J$53:$L$54</definedName>
    <definedName name="Sa_droit">'EC1 - CC'!$L$3</definedName>
    <definedName name="Sa_paral">'EC1 - CC'!$L$4</definedName>
    <definedName name="schema_toit">IF(Choix_forme=Données!$C$14,Données!$K$2:$R$18,Données!$K$19:$R$37)</definedName>
    <definedName name="select">'Config type'!$B$1</definedName>
    <definedName name="sélect">'Config type'!$B$1</definedName>
    <definedName name="Sk">'EC1-Neige'!$C$12</definedName>
    <definedName name="Sn_droit">'EC1 - CC'!$J$3</definedName>
    <definedName name="Sn_paral">'EC1 - CC'!$J$4</definedName>
    <definedName name="Sollic_croch">'EC1 - CC'!$J$55:$O$55</definedName>
    <definedName name="Sollic_posit">'EC1 - CC'!$C$70:$Y$70</definedName>
    <definedName name="Support_rail">'Config type'!$B$3:$B$13</definedName>
    <definedName name="Surcharge">Données!$C$31</definedName>
    <definedName name="system_area">'EC1-Vent'!$M$9</definedName>
    <definedName name="toit_dim_e10">'EC1-Vent'!#REF!</definedName>
    <definedName name="toit_dim_e4">'EC1-Vent'!#REF!</definedName>
    <definedName name="toit_dim0_e10">Données!$D$19</definedName>
    <definedName name="toit_dim0_e10_proj">Données!$D$21</definedName>
    <definedName name="toit_dim0_e4">Données!$D$20</definedName>
    <definedName name="toit_dim0_e4_proj">Données!$D$22</definedName>
    <definedName name="toit_dim90_e10">Données!$F$19</definedName>
    <definedName name="toit_dim90_e10_proj">Données!$F$21</definedName>
    <definedName name="toit_dim90_e4">Données!$F$20</definedName>
    <definedName name="toit_dim90_e4_proj">Données!$F$22</definedName>
    <definedName name="Toit_Forme">Données!$C$14:$D$14</definedName>
    <definedName name="toit_larg">'Configurateur ISY-PV'!$D$21</definedName>
    <definedName name="toit_larg_calc">Données!$C$15</definedName>
    <definedName name="toit_long">'Configurateur ISY-PV'!$D$20</definedName>
    <definedName name="toit_ramp">'Configurateur ISY-PV'!$D$23</definedName>
    <definedName name="toit_ramp_calc">Données!$C$16</definedName>
    <definedName name="Vent_Vb0">'EC1-Vent'!$C$7:$J$8</definedName>
    <definedName name="Vent_Zone">'EC1-Vent'!$C$7:$J$7</definedName>
    <definedName name="Verif_Bi">'EC1 - CC'!$C$65:$AC$69</definedName>
    <definedName name="Verif_elem">'EC1 - CC'!$C$58:$AC$58</definedName>
    <definedName name="Verif_Mono">'EC1 - CC'!$C$59:$AC$64</definedName>
    <definedName name="vis_resist">Mécanique!$C$14:$E$16</definedName>
    <definedName name="Zone_exclusion_BP">Données!$A$96:$B$100</definedName>
    <definedName name="Zone_exclusion_MP">Données!$A$89:$B$94</definedName>
    <definedName name="Zone_Toit_Bi">'EC1 - CC'!$C$18:$C$22</definedName>
    <definedName name="Zone_toit_exclusion">Données!$C$88:$H$100</definedName>
    <definedName name="Zone_Toit_Mono">'EC1 - CC'!$C$12:$C$17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0" i="11" l="1"/>
  <c r="D170" i="11"/>
  <c r="G167" i="11"/>
  <c r="B167" i="11"/>
  <c r="S57" i="9"/>
  <c r="S55" i="9" s="1"/>
  <c r="R57" i="9"/>
  <c r="V58" i="9"/>
  <c r="D80" i="2"/>
  <c r="R55" i="9" l="1"/>
  <c r="S35" i="4"/>
  <c r="R58" i="9" s="1"/>
  <c r="S34" i="4"/>
  <c r="C15" i="7"/>
  <c r="C16" i="7"/>
  <c r="B16" i="7"/>
  <c r="B15" i="7"/>
  <c r="C14" i="7"/>
  <c r="B14" i="7"/>
  <c r="S58" i="9" l="1"/>
  <c r="A104" i="11"/>
  <c r="H82" i="2"/>
  <c r="D4" i="8"/>
  <c r="A130" i="13"/>
  <c r="H151" i="13"/>
  <c r="C151" i="13"/>
  <c r="B151" i="13"/>
  <c r="D142" i="13"/>
  <c r="A139" i="13"/>
  <c r="A138" i="13"/>
  <c r="C137" i="13"/>
  <c r="A132" i="13"/>
  <c r="A131" i="13"/>
  <c r="A129" i="13"/>
  <c r="A128" i="13"/>
  <c r="C124" i="13"/>
  <c r="A106" i="13"/>
  <c r="C90" i="13"/>
  <c r="C89" i="13"/>
  <c r="C88" i="13"/>
  <c r="B87" i="13"/>
  <c r="H83" i="13"/>
  <c r="H82" i="13"/>
  <c r="C82" i="13"/>
  <c r="H81" i="13"/>
  <c r="C81" i="13"/>
  <c r="C75" i="13"/>
  <c r="B75" i="13"/>
  <c r="C74" i="13"/>
  <c r="C73" i="13"/>
  <c r="C72" i="13"/>
  <c r="F67" i="13"/>
  <c r="C67" i="13"/>
  <c r="F66" i="13"/>
  <c r="C66" i="13"/>
  <c r="C52" i="13"/>
  <c r="C51" i="13"/>
  <c r="C50" i="13"/>
  <c r="D42" i="13"/>
  <c r="D41" i="13"/>
  <c r="A128" i="11"/>
  <c r="I9" i="2"/>
  <c r="I8" i="2"/>
  <c r="I7" i="2"/>
  <c r="I6" i="2"/>
  <c r="I5" i="2"/>
  <c r="I4" i="2"/>
  <c r="D141" i="11"/>
  <c r="A138" i="11"/>
  <c r="A137" i="11"/>
  <c r="C136" i="11"/>
  <c r="E141" i="11" l="1"/>
  <c r="E143" i="11" s="1"/>
  <c r="E142" i="13"/>
  <c r="E143" i="13" s="1"/>
  <c r="Q55" i="9"/>
  <c r="T55" i="9"/>
  <c r="T70" i="9" s="1"/>
  <c r="U55" i="9"/>
  <c r="U70" i="9" s="1"/>
  <c r="V55" i="9"/>
  <c r="V70" i="9" s="1"/>
  <c r="W55" i="9"/>
  <c r="W70" i="9" s="1"/>
  <c r="X55" i="9"/>
  <c r="X70" i="9" s="1"/>
  <c r="Y55" i="9"/>
  <c r="Y70" i="9" s="1"/>
  <c r="A131" i="11"/>
  <c r="A130" i="11"/>
  <c r="A129" i="11"/>
  <c r="Q70" i="9"/>
  <c r="R70" i="9"/>
  <c r="S70" i="9"/>
  <c r="C122" i="11"/>
  <c r="A127" i="11"/>
  <c r="A126" i="11"/>
  <c r="L38" i="9"/>
  <c r="K38" i="9"/>
  <c r="J38" i="9"/>
  <c r="J37" i="9" s="1"/>
  <c r="I38" i="9"/>
  <c r="I37" i="9" s="1"/>
  <c r="H38" i="9"/>
  <c r="G38" i="9"/>
  <c r="F38" i="9"/>
  <c r="E38" i="9"/>
  <c r="D38" i="9"/>
  <c r="F37" i="9"/>
  <c r="G37" i="9"/>
  <c r="H37" i="9"/>
  <c r="L40" i="9"/>
  <c r="K40" i="9"/>
  <c r="J40" i="9"/>
  <c r="I40" i="9"/>
  <c r="H40" i="9"/>
  <c r="G40" i="9"/>
  <c r="F40" i="9"/>
  <c r="E40" i="9"/>
  <c r="E37" i="9" s="1"/>
  <c r="D40" i="9"/>
  <c r="L39" i="9"/>
  <c r="L37" i="9" s="1"/>
  <c r="K39" i="9"/>
  <c r="J39" i="9"/>
  <c r="I39" i="9"/>
  <c r="H39" i="9"/>
  <c r="G39" i="9"/>
  <c r="F39" i="9"/>
  <c r="E39" i="9"/>
  <c r="D39" i="9"/>
  <c r="D37" i="9"/>
  <c r="E142" i="11" l="1"/>
  <c r="E144" i="13"/>
  <c r="K37" i="9"/>
  <c r="C25" i="9"/>
  <c r="V50" i="2"/>
  <c r="E15" i="1" a="1"/>
  <c r="E15" i="1" s="1"/>
  <c r="Q35" i="9" l="1"/>
  <c r="Q34" i="9"/>
  <c r="Q33" i="9"/>
  <c r="Q32" i="9"/>
  <c r="Q31" i="9"/>
  <c r="Q30" i="9"/>
  <c r="Q29" i="9"/>
  <c r="Q28" i="9"/>
  <c r="Q27" i="9"/>
  <c r="Q26" i="9"/>
  <c r="Q25" i="9"/>
  <c r="G2" i="9"/>
  <c r="E99" i="2"/>
  <c r="B99" i="2"/>
  <c r="G4" i="9" l="1"/>
  <c r="J35" i="9" s="1"/>
  <c r="I100" i="13"/>
  <c r="X32" i="9" l="1"/>
  <c r="J33" i="9"/>
  <c r="X33" i="9"/>
  <c r="AB30" i="9"/>
  <c r="J25" i="9"/>
  <c r="AB29" i="9"/>
  <c r="N30" i="9"/>
  <c r="X31" i="9"/>
  <c r="X29" i="9"/>
  <c r="N29" i="9"/>
  <c r="X28" i="9"/>
  <c r="AB27" i="9"/>
  <c r="X26" i="9"/>
  <c r="N28" i="9"/>
  <c r="X25" i="9"/>
  <c r="AB26" i="9"/>
  <c r="AB35" i="9"/>
  <c r="N27" i="9"/>
  <c r="AB25" i="9"/>
  <c r="AB34" i="9"/>
  <c r="N26" i="9"/>
  <c r="N35" i="9"/>
  <c r="AB32" i="9"/>
  <c r="AB33" i="9"/>
  <c r="J31" i="9"/>
  <c r="N25" i="9"/>
  <c r="N33" i="9"/>
  <c r="N34" i="9"/>
  <c r="J29" i="9"/>
  <c r="J32" i="9"/>
  <c r="J28" i="9"/>
  <c r="J30" i="9"/>
  <c r="J27" i="9"/>
  <c r="AB31" i="9"/>
  <c r="N32" i="9"/>
  <c r="J34" i="9"/>
  <c r="J26" i="9"/>
  <c r="X27" i="9"/>
  <c r="X34" i="9"/>
  <c r="AB28" i="9"/>
  <c r="N31" i="9"/>
  <c r="X30" i="9"/>
  <c r="X35" i="9"/>
  <c r="C68" i="9"/>
  <c r="Q21" i="9"/>
  <c r="Q13" i="9"/>
  <c r="Q14" i="9"/>
  <c r="Q15" i="9"/>
  <c r="Q16" i="9"/>
  <c r="Q17" i="9"/>
  <c r="Q18" i="9"/>
  <c r="Q19" i="9"/>
  <c r="Q20" i="9"/>
  <c r="Q22" i="9"/>
  <c r="Q12" i="9"/>
  <c r="J28" i="6"/>
  <c r="B28" i="6"/>
  <c r="J62" i="6"/>
  <c r="B62" i="6"/>
  <c r="J91" i="6"/>
  <c r="B91" i="6"/>
  <c r="B80" i="6"/>
  <c r="J78" i="6"/>
  <c r="B78" i="6"/>
  <c r="O8" i="6"/>
  <c r="M8" i="6" s="1"/>
  <c r="C33" i="6" s="1"/>
  <c r="C43" i="2"/>
  <c r="I80" i="2"/>
  <c r="I59" i="2"/>
  <c r="I54" i="2"/>
  <c r="I52" i="2"/>
  <c r="C33" i="1" l="1"/>
  <c r="U58" i="9" l="1"/>
  <c r="T58" i="9"/>
  <c r="D69" i="1"/>
  <c r="E69" i="1" s="1"/>
  <c r="B13" i="3"/>
  <c r="B12" i="3"/>
  <c r="Q58" i="9"/>
  <c r="H80" i="2" l="1"/>
  <c r="H84" i="2" l="1"/>
  <c r="E44" i="4"/>
  <c r="P13" i="4" s="1"/>
  <c r="P11" i="4" l="1"/>
  <c r="P12" i="4"/>
  <c r="H59" i="2"/>
  <c r="H54" i="2"/>
  <c r="O1" i="4" l="1"/>
  <c r="I84" i="2"/>
  <c r="I53" i="2" s="1"/>
  <c r="H53" i="2"/>
  <c r="H49" i="3"/>
  <c r="G49" i="3"/>
  <c r="F49" i="3"/>
  <c r="E49" i="3"/>
  <c r="D49" i="3"/>
  <c r="C49" i="3"/>
  <c r="B53" i="3" s="1"/>
  <c r="C18" i="1"/>
  <c r="H52" i="2"/>
  <c r="B50" i="3" l="1"/>
  <c r="B51" i="3"/>
  <c r="B52" i="3"/>
  <c r="K44" i="3"/>
  <c r="J44" i="3"/>
  <c r="I44" i="3"/>
  <c r="H44" i="3"/>
  <c r="G44" i="3"/>
  <c r="F44" i="3"/>
  <c r="E44" i="3"/>
  <c r="D44" i="3"/>
  <c r="C44" i="3"/>
  <c r="F13" i="4"/>
  <c r="F12" i="4"/>
  <c r="F11" i="4"/>
  <c r="D10" i="4"/>
  <c r="D6" i="4"/>
  <c r="E6" i="4"/>
  <c r="D9" i="4"/>
  <c r="E10" i="4"/>
  <c r="F10" i="4"/>
  <c r="P1" i="4"/>
  <c r="O39" i="4"/>
  <c r="O18" i="4"/>
  <c r="H32" i="3"/>
  <c r="H31" i="3"/>
  <c r="I51" i="2"/>
  <c r="H51" i="2"/>
  <c r="F6" i="4" l="1"/>
  <c r="G80" i="2"/>
  <c r="G81" i="2" s="1"/>
  <c r="G53" i="2"/>
  <c r="O17" i="3"/>
  <c r="O18" i="3"/>
  <c r="O19" i="3"/>
  <c r="O20" i="3"/>
  <c r="O21" i="3"/>
  <c r="O16" i="3"/>
  <c r="L15" i="3"/>
  <c r="M15" i="3"/>
  <c r="N15" i="3"/>
  <c r="O15" i="3"/>
  <c r="O2" i="3"/>
  <c r="N2" i="3"/>
  <c r="M2" i="3"/>
  <c r="L2" i="3"/>
  <c r="K2" i="3"/>
  <c r="K15" i="3" s="1"/>
  <c r="J2" i="3"/>
  <c r="J15" i="3" s="1"/>
  <c r="K12" i="3"/>
  <c r="J12" i="3"/>
  <c r="L12" i="3"/>
  <c r="M12" i="3"/>
  <c r="N12" i="3"/>
  <c r="L13" i="3"/>
  <c r="M13" i="3"/>
  <c r="N13" i="3"/>
  <c r="O3" i="3"/>
  <c r="N4" i="3"/>
  <c r="O4" i="3"/>
  <c r="N5" i="3"/>
  <c r="O5" i="3"/>
  <c r="O12" i="3" s="1"/>
  <c r="O13" i="3" s="1"/>
  <c r="N6" i="3"/>
  <c r="O6" i="3"/>
  <c r="O7" i="3"/>
  <c r="O8" i="3"/>
  <c r="O9" i="3"/>
  <c r="O10" i="3"/>
  <c r="N11" i="3"/>
  <c r="O11" i="3"/>
  <c r="L3" i="3"/>
  <c r="M3" i="3"/>
  <c r="N3" i="3"/>
  <c r="M4" i="3"/>
  <c r="M5" i="3"/>
  <c r="L6" i="3"/>
  <c r="L7" i="3"/>
  <c r="M7" i="3"/>
  <c r="L8" i="3"/>
  <c r="M8" i="3"/>
  <c r="L9" i="3"/>
  <c r="M9" i="3"/>
  <c r="L10" i="3"/>
  <c r="M10" i="3"/>
  <c r="L11" i="3"/>
  <c r="M11" i="3"/>
  <c r="H39" i="3"/>
  <c r="H38" i="3"/>
  <c r="H37" i="3"/>
  <c r="H30" i="3"/>
  <c r="H23" i="3"/>
  <c r="H15" i="3"/>
  <c r="C52" i="11"/>
  <c r="D41" i="11"/>
  <c r="J5" i="3"/>
  <c r="K5" i="3"/>
  <c r="J6" i="3"/>
  <c r="K6" i="3"/>
  <c r="J7" i="3"/>
  <c r="K7" i="3"/>
  <c r="J8" i="3"/>
  <c r="K8" i="3"/>
  <c r="J9" i="3"/>
  <c r="K9" i="3"/>
  <c r="J10" i="3"/>
  <c r="K10" i="3"/>
  <c r="G9" i="3"/>
  <c r="G8" i="3"/>
  <c r="E5" i="3"/>
  <c r="B9" i="3"/>
  <c r="B8" i="3"/>
  <c r="B5" i="3"/>
  <c r="M32" i="4"/>
  <c r="E24" i="4"/>
  <c r="F24" i="4" s="1"/>
  <c r="E23" i="4"/>
  <c r="F23" i="4" s="1"/>
  <c r="F15" i="4"/>
  <c r="C51" i="11" l="1"/>
  <c r="C50" i="11"/>
  <c r="D42" i="11"/>
  <c r="E21" i="6" l="1"/>
  <c r="C81" i="11"/>
  <c r="C90" i="11"/>
  <c r="H81" i="11"/>
  <c r="C150" i="11" l="1"/>
  <c r="H150" i="11"/>
  <c r="B150" i="11"/>
  <c r="C89" i="11"/>
  <c r="C88" i="11"/>
  <c r="B87" i="11"/>
  <c r="H82" i="11"/>
  <c r="H83" i="11"/>
  <c r="C82" i="11"/>
  <c r="C75" i="11"/>
  <c r="C74" i="11"/>
  <c r="B75" i="11"/>
  <c r="C73" i="11"/>
  <c r="C72" i="11"/>
  <c r="F67" i="11"/>
  <c r="F66" i="11"/>
  <c r="C67" i="11"/>
  <c r="C66" i="11"/>
  <c r="B11" i="10" l="1"/>
  <c r="B13" i="10"/>
  <c r="B10" i="10"/>
  <c r="B44" i="6" l="1"/>
  <c r="E27" i="1" l="1"/>
  <c r="C27" i="1"/>
  <c r="F39" i="3"/>
  <c r="F38" i="3"/>
  <c r="G38" i="3"/>
  <c r="G39" i="3"/>
  <c r="G37" i="3"/>
  <c r="F37" i="3"/>
  <c r="E37" i="3"/>
  <c r="D37" i="3"/>
  <c r="C37" i="3"/>
  <c r="B40" i="3" l="1"/>
  <c r="B41" i="3"/>
  <c r="E39" i="3"/>
  <c r="D39" i="3"/>
  <c r="E38" i="3"/>
  <c r="D38" i="3"/>
  <c r="C39" i="3"/>
  <c r="C38" i="3"/>
  <c r="G7" i="3"/>
  <c r="N7" i="3" s="1"/>
  <c r="G10" i="3"/>
  <c r="B11" i="3"/>
  <c r="B10" i="3"/>
  <c r="B7" i="3"/>
  <c r="B6" i="3"/>
  <c r="B4" i="3"/>
  <c r="B3" i="3"/>
  <c r="N29" i="3"/>
  <c r="B39" i="3" l="1"/>
  <c r="C43" i="3" a="1"/>
  <c r="C43" i="3" s="1"/>
  <c r="B46" i="3" s="1"/>
  <c r="N8" i="3"/>
  <c r="B38" i="3"/>
  <c r="I30" i="2" l="1"/>
  <c r="B44" i="3"/>
  <c r="B45" i="3"/>
  <c r="B47" i="3"/>
  <c r="N9" i="3"/>
  <c r="H30" i="2"/>
  <c r="D11" i="3"/>
  <c r="C11" i="3"/>
  <c r="F6" i="3"/>
  <c r="M6" i="3" s="1"/>
  <c r="E4" i="3"/>
  <c r="L4" i="3" s="1"/>
  <c r="L5" i="3" s="1"/>
  <c r="D3" i="3"/>
  <c r="K3" i="3" s="1"/>
  <c r="M31" i="4"/>
  <c r="N30" i="4"/>
  <c r="L26" i="4"/>
  <c r="K26" i="4"/>
  <c r="L25" i="4"/>
  <c r="K25" i="4"/>
  <c r="K4" i="3"/>
  <c r="J4" i="3"/>
  <c r="C3" i="3"/>
  <c r="J3" i="3" s="1"/>
  <c r="C61" i="9"/>
  <c r="I31" i="2" l="1"/>
  <c r="H31" i="2"/>
  <c r="D24" i="1"/>
  <c r="N10" i="3"/>
  <c r="N21" i="3" s="1"/>
  <c r="M21" i="3"/>
  <c r="M17" i="3"/>
  <c r="M16" i="3"/>
  <c r="M18" i="3"/>
  <c r="M20" i="3"/>
  <c r="M19" i="3"/>
  <c r="L21" i="3"/>
  <c r="L17" i="3"/>
  <c r="L16" i="3"/>
  <c r="L18" i="3"/>
  <c r="L20" i="3"/>
  <c r="L19" i="3"/>
  <c r="J11" i="3"/>
  <c r="K11" i="3"/>
  <c r="F20" i="2"/>
  <c r="F19" i="2"/>
  <c r="F18" i="2"/>
  <c r="D18" i="2"/>
  <c r="D20" i="2"/>
  <c r="D19" i="2"/>
  <c r="L45" i="1"/>
  <c r="N19" i="3" l="1"/>
  <c r="N20" i="3"/>
  <c r="N18" i="3"/>
  <c r="N16" i="3"/>
  <c r="N17" i="3"/>
  <c r="K13" i="3"/>
  <c r="K21" i="3" s="1"/>
  <c r="J13" i="3"/>
  <c r="J17" i="3" s="1"/>
  <c r="C16" i="2"/>
  <c r="C15" i="2"/>
  <c r="K16" i="3" l="1"/>
  <c r="K18" i="3"/>
  <c r="K20" i="3"/>
  <c r="J16" i="3"/>
  <c r="B16" i="3" s="1"/>
  <c r="J19" i="3"/>
  <c r="K17" i="3"/>
  <c r="B17" i="3" s="1"/>
  <c r="J18" i="3"/>
  <c r="B18" i="3" s="1"/>
  <c r="K19" i="3"/>
  <c r="E21" i="1"/>
  <c r="J20" i="3"/>
  <c r="B20" i="3" s="1"/>
  <c r="J21" i="3"/>
  <c r="B21" i="3" s="1"/>
  <c r="E60" i="1"/>
  <c r="G69" i="1"/>
  <c r="G60" i="1" s="1"/>
  <c r="C127" i="13" s="1"/>
  <c r="F69" i="1"/>
  <c r="F60" i="1" s="1"/>
  <c r="C126" i="13" s="1"/>
  <c r="D60" i="1"/>
  <c r="C125" i="13" s="1"/>
  <c r="B19" i="3" l="1"/>
  <c r="H28" i="2" s="1"/>
  <c r="C123" i="11"/>
  <c r="C124" i="11"/>
  <c r="C125" i="11"/>
  <c r="B46" i="6"/>
  <c r="E13" i="8" l="1"/>
  <c r="E15" i="8"/>
  <c r="E14" i="8"/>
  <c r="D11" i="8"/>
  <c r="D10" i="8"/>
  <c r="C33" i="3" l="1"/>
  <c r="J44" i="6"/>
  <c r="E20" i="6"/>
  <c r="E22" i="6" s="1"/>
  <c r="I88" i="2"/>
  <c r="H96" i="2"/>
  <c r="G97" i="2"/>
  <c r="G96" i="2"/>
  <c r="F97" i="2"/>
  <c r="F96" i="2"/>
  <c r="E96" i="2"/>
  <c r="D98" i="2"/>
  <c r="D96" i="2"/>
  <c r="C96" i="2"/>
  <c r="H93" i="2"/>
  <c r="H89" i="2"/>
  <c r="G94" i="2"/>
  <c r="G89" i="2"/>
  <c r="F90" i="2"/>
  <c r="F89" i="2"/>
  <c r="E92" i="2"/>
  <c r="E89" i="2"/>
  <c r="D91" i="2"/>
  <c r="D89" i="2"/>
  <c r="C89" i="2"/>
  <c r="B97" i="2"/>
  <c r="B98" i="2"/>
  <c r="B100" i="2"/>
  <c r="B96" i="2"/>
  <c r="B90" i="2"/>
  <c r="B91" i="2"/>
  <c r="B92" i="2"/>
  <c r="B93" i="2"/>
  <c r="B94" i="2"/>
  <c r="B89" i="2"/>
  <c r="C69" i="9"/>
  <c r="C67" i="9"/>
  <c r="C66" i="9"/>
  <c r="C65" i="9"/>
  <c r="C64" i="9"/>
  <c r="C63" i="9"/>
  <c r="C62" i="9"/>
  <c r="C60" i="9"/>
  <c r="C59" i="9"/>
  <c r="Y58" i="9"/>
  <c r="X58" i="9"/>
  <c r="W58" i="9"/>
  <c r="J54" i="9"/>
  <c r="K54" i="9" s="1"/>
  <c r="L54" i="9" s="1"/>
  <c r="M54" i="9" s="1"/>
  <c r="N54" i="9" s="1"/>
  <c r="O54" i="9" s="1"/>
  <c r="D54" i="9"/>
  <c r="D55" i="9" l="1"/>
  <c r="E54" i="9"/>
  <c r="F54" i="9" s="1"/>
  <c r="G54" i="9" s="1"/>
  <c r="H54" i="9" s="1"/>
  <c r="I54" i="9" s="1"/>
  <c r="G3" i="9"/>
  <c r="I98" i="11"/>
  <c r="I96" i="2"/>
  <c r="A96" i="2" s="1"/>
  <c r="I89" i="2"/>
  <c r="A89" i="2" s="1"/>
  <c r="K55" i="9"/>
  <c r="J55" i="9"/>
  <c r="J5" i="7"/>
  <c r="N5" i="7" s="1"/>
  <c r="E8" i="2"/>
  <c r="K58" i="9" l="1"/>
  <c r="K70" i="9"/>
  <c r="J70" i="9"/>
  <c r="D58" i="9"/>
  <c r="D70" i="9"/>
  <c r="C61" i="1"/>
  <c r="J58" i="9"/>
  <c r="J36" i="9"/>
  <c r="M5" i="7"/>
  <c r="P5" i="7" s="1"/>
  <c r="L55" i="9"/>
  <c r="E55" i="9"/>
  <c r="D5" i="8"/>
  <c r="D6" i="8"/>
  <c r="D7" i="8"/>
  <c r="D8" i="8"/>
  <c r="D9" i="8"/>
  <c r="D136" i="11" l="1"/>
  <c r="D124" i="13"/>
  <c r="D137" i="13"/>
  <c r="L58" i="9"/>
  <c r="L70" i="9"/>
  <c r="E58" i="9"/>
  <c r="E70" i="9"/>
  <c r="D122" i="11"/>
  <c r="M55" i="9"/>
  <c r="F55" i="9"/>
  <c r="C13" i="8"/>
  <c r="E11" i="8"/>
  <c r="E5" i="8"/>
  <c r="E6" i="8"/>
  <c r="E7" i="8"/>
  <c r="E8" i="8"/>
  <c r="E9" i="8"/>
  <c r="E10" i="8"/>
  <c r="E4" i="8"/>
  <c r="C12" i="8" s="1"/>
  <c r="F98" i="11" l="1"/>
  <c r="F100" i="13"/>
  <c r="F102" i="13"/>
  <c r="M58" i="9"/>
  <c r="M70" i="9"/>
  <c r="F58" i="9"/>
  <c r="F70" i="9"/>
  <c r="C17" i="8"/>
  <c r="C25" i="8" s="1"/>
  <c r="F100" i="11"/>
  <c r="G55" i="9"/>
  <c r="N55" i="9"/>
  <c r="O55" i="9"/>
  <c r="C16" i="8"/>
  <c r="F101" i="13" l="1"/>
  <c r="G58" i="9"/>
  <c r="G70" i="9"/>
  <c r="N58" i="9"/>
  <c r="N70" i="9"/>
  <c r="O58" i="9"/>
  <c r="O70" i="9"/>
  <c r="E26" i="8"/>
  <c r="L4" i="9" s="1"/>
  <c r="L2" i="9"/>
  <c r="E25" i="8"/>
  <c r="L3" i="9" s="1"/>
  <c r="F99" i="11"/>
  <c r="H55" i="9"/>
  <c r="I55" i="9"/>
  <c r="C23" i="8"/>
  <c r="C71" i="1" a="1"/>
  <c r="C71" i="1" s="1"/>
  <c r="C72" i="1" a="1"/>
  <c r="C72" i="1" s="1"/>
  <c r="C73" i="1" a="1"/>
  <c r="C73" i="1" s="1"/>
  <c r="C74" i="1" a="1"/>
  <c r="C74" i="1" s="1"/>
  <c r="C75" i="1" a="1"/>
  <c r="C75" i="1" s="1"/>
  <c r="C70" i="1" a="1"/>
  <c r="C70" i="1" s="1"/>
  <c r="I58" i="9" l="1"/>
  <c r="I70" i="9"/>
  <c r="H58" i="9"/>
  <c r="H70" i="9"/>
  <c r="Y34" i="9"/>
  <c r="K33" i="9"/>
  <c r="Y29" i="9"/>
  <c r="K30" i="9"/>
  <c r="Y30" i="9"/>
  <c r="K28" i="9"/>
  <c r="Y32" i="9"/>
  <c r="K35" i="9"/>
  <c r="Y31" i="9"/>
  <c r="K34" i="9"/>
  <c r="Y25" i="9"/>
  <c r="K27" i="9"/>
  <c r="Y26" i="9"/>
  <c r="K26" i="9"/>
  <c r="K31" i="9"/>
  <c r="K25" i="9"/>
  <c r="K29" i="9"/>
  <c r="Y33" i="9"/>
  <c r="Y28" i="9"/>
  <c r="K32" i="9"/>
  <c r="Y35" i="9"/>
  <c r="Y27" i="9"/>
  <c r="E24" i="8"/>
  <c r="J4" i="9" s="1"/>
  <c r="J2" i="9"/>
  <c r="E23" i="8"/>
  <c r="J3" i="9" s="1"/>
  <c r="H8" i="7"/>
  <c r="J7" i="7"/>
  <c r="N7" i="7" s="1"/>
  <c r="O5" i="7"/>
  <c r="J6" i="7"/>
  <c r="N6" i="7" s="1"/>
  <c r="Z30" i="9" l="1"/>
  <c r="M31" i="9"/>
  <c r="H33" i="9"/>
  <c r="I33" i="9"/>
  <c r="M26" i="9"/>
  <c r="AA29" i="9"/>
  <c r="W29" i="9"/>
  <c r="Z27" i="9"/>
  <c r="V28" i="9"/>
  <c r="L32" i="9"/>
  <c r="Z34" i="9"/>
  <c r="V30" i="9"/>
  <c r="V35" i="9"/>
  <c r="AA30" i="9"/>
  <c r="I28" i="9"/>
  <c r="Z33" i="9"/>
  <c r="W28" i="9"/>
  <c r="H34" i="9"/>
  <c r="L29" i="9"/>
  <c r="V31" i="9"/>
  <c r="W35" i="9"/>
  <c r="M32" i="9"/>
  <c r="Z25" i="9"/>
  <c r="AA27" i="9"/>
  <c r="I25" i="9"/>
  <c r="AA34" i="9"/>
  <c r="H31" i="9"/>
  <c r="M33" i="9"/>
  <c r="V25" i="9"/>
  <c r="M29" i="9"/>
  <c r="W25" i="9"/>
  <c r="I34" i="9"/>
  <c r="L27" i="9"/>
  <c r="H26" i="9"/>
  <c r="AA25" i="9"/>
  <c r="Z31" i="9"/>
  <c r="V33" i="9"/>
  <c r="H29" i="9"/>
  <c r="AA32" i="9"/>
  <c r="M27" i="9"/>
  <c r="Z28" i="9"/>
  <c r="L25" i="9"/>
  <c r="V34" i="9"/>
  <c r="L33" i="9"/>
  <c r="W30" i="9"/>
  <c r="AA31" i="9"/>
  <c r="Z35" i="9"/>
  <c r="H27" i="9"/>
  <c r="H25" i="9"/>
  <c r="I29" i="9"/>
  <c r="M25" i="9"/>
  <c r="W31" i="9"/>
  <c r="H35" i="9"/>
  <c r="Z26" i="9"/>
  <c r="V32" i="9"/>
  <c r="I48" i="9" s="1"/>
  <c r="I35" i="9"/>
  <c r="H32" i="9"/>
  <c r="M30" i="9"/>
  <c r="L28" i="9"/>
  <c r="W26" i="9"/>
  <c r="AA26" i="9"/>
  <c r="L34" i="9"/>
  <c r="I32" i="9"/>
  <c r="H30" i="9"/>
  <c r="F46" i="9" s="1"/>
  <c r="M35" i="9"/>
  <c r="V26" i="9"/>
  <c r="I42" i="9" s="1"/>
  <c r="I31" i="9"/>
  <c r="L30" i="9"/>
  <c r="AA28" i="9"/>
  <c r="I27" i="9"/>
  <c r="AA35" i="9"/>
  <c r="W32" i="9"/>
  <c r="L35" i="9"/>
  <c r="Z32" i="9"/>
  <c r="AA33" i="9"/>
  <c r="I26" i="9"/>
  <c r="W33" i="9"/>
  <c r="L26" i="9"/>
  <c r="M28" i="9"/>
  <c r="Z29" i="9"/>
  <c r="V27" i="9"/>
  <c r="M34" i="9"/>
  <c r="W27" i="9"/>
  <c r="W34" i="9"/>
  <c r="H28" i="9"/>
  <c r="I30" i="9"/>
  <c r="L31" i="9"/>
  <c r="V29" i="9"/>
  <c r="K6" i="7"/>
  <c r="L6" i="7" s="1"/>
  <c r="M6" i="7"/>
  <c r="P6" i="7" s="1"/>
  <c r="K7" i="7"/>
  <c r="L7" i="7" s="1"/>
  <c r="M7" i="7"/>
  <c r="P7" i="7" s="1"/>
  <c r="J8" i="7"/>
  <c r="N8" i="7" s="1"/>
  <c r="O6" i="7"/>
  <c r="K5" i="7"/>
  <c r="L5" i="7" s="1"/>
  <c r="O7" i="7"/>
  <c r="L51" i="9" l="1"/>
  <c r="F45" i="9"/>
  <c r="L43" i="9"/>
  <c r="I49" i="9"/>
  <c r="I44" i="9"/>
  <c r="L47" i="9"/>
  <c r="F42" i="9"/>
  <c r="F44" i="9"/>
  <c r="L44" i="9"/>
  <c r="I51" i="9"/>
  <c r="I46" i="9"/>
  <c r="L50" i="9"/>
  <c r="I45" i="9"/>
  <c r="F49" i="9"/>
  <c r="I41" i="9"/>
  <c r="F51" i="9"/>
  <c r="L45" i="9"/>
  <c r="L48" i="9"/>
  <c r="F48" i="9"/>
  <c r="F47" i="9"/>
  <c r="L42" i="9"/>
  <c r="I43" i="9"/>
  <c r="L41" i="9"/>
  <c r="F41" i="9"/>
  <c r="F43" i="9"/>
  <c r="I47" i="9"/>
  <c r="F50" i="9"/>
  <c r="L49" i="9"/>
  <c r="I50" i="9"/>
  <c r="L46" i="9"/>
  <c r="K8" i="7"/>
  <c r="L8" i="7" s="1"/>
  <c r="M8" i="7"/>
  <c r="P8" i="7" s="1"/>
  <c r="P3" i="7"/>
  <c r="H22" i="6" l="1"/>
  <c r="J57" i="6" l="1"/>
  <c r="B57" i="6"/>
  <c r="E23" i="6"/>
  <c r="K12" i="6"/>
  <c r="K11" i="6"/>
  <c r="K10" i="6"/>
  <c r="M7" i="6"/>
  <c r="M6" i="6"/>
  <c r="M5" i="6"/>
  <c r="E24" i="6" l="1"/>
  <c r="H20" i="6" s="1"/>
  <c r="H21" i="6" s="1"/>
  <c r="K20" i="6"/>
  <c r="N20" i="6" l="1"/>
  <c r="N23" i="6" l="1"/>
  <c r="N21" i="6"/>
  <c r="N22" i="6" s="1"/>
  <c r="C100" i="13" l="1"/>
  <c r="N24" i="6"/>
  <c r="N25" i="6" s="1"/>
  <c r="C98" i="11"/>
  <c r="P39" i="4"/>
  <c r="N39" i="4"/>
  <c r="M39" i="4"/>
  <c r="L39" i="4"/>
  <c r="K39" i="4"/>
  <c r="E43" i="4" l="1"/>
  <c r="N18" i="4"/>
  <c r="M18" i="4"/>
  <c r="L18" i="4"/>
  <c r="K18" i="4"/>
  <c r="G51" i="2"/>
  <c r="F51" i="2"/>
  <c r="E51" i="2"/>
  <c r="D51" i="2"/>
  <c r="G31" i="3"/>
  <c r="F33" i="3"/>
  <c r="E33" i="3"/>
  <c r="D33" i="3"/>
  <c r="F32" i="3"/>
  <c r="E32" i="3"/>
  <c r="D32" i="3"/>
  <c r="F31" i="3"/>
  <c r="E31" i="3"/>
  <c r="D31" i="3"/>
  <c r="C32" i="3"/>
  <c r="C31" i="3"/>
  <c r="E42" i="4"/>
  <c r="F36" i="4"/>
  <c r="F34" i="4"/>
  <c r="F33" i="4"/>
  <c r="F31" i="4"/>
  <c r="F30" i="4"/>
  <c r="F27" i="4"/>
  <c r="F26" i="4"/>
  <c r="F25" i="4"/>
  <c r="F18" i="4"/>
  <c r="F14" i="4"/>
  <c r="E22" i="4"/>
  <c r="F22" i="4" s="1"/>
  <c r="E21" i="4"/>
  <c r="F21" i="4" s="1"/>
  <c r="E20" i="4"/>
  <c r="F20" i="4" s="1"/>
  <c r="E19" i="4"/>
  <c r="F19" i="4" s="1"/>
  <c r="E17" i="4"/>
  <c r="F17" i="4" s="1"/>
  <c r="E16" i="4"/>
  <c r="F16" i="4" s="1"/>
  <c r="E41" i="4"/>
  <c r="O16" i="4" l="1"/>
  <c r="O24" i="4"/>
  <c r="N24" i="4"/>
  <c r="M24" i="4"/>
  <c r="L24" i="4"/>
  <c r="K24" i="4"/>
  <c r="P23" i="4"/>
  <c r="O23" i="4"/>
  <c r="N23" i="4"/>
  <c r="M23" i="4"/>
  <c r="L23" i="4"/>
  <c r="K23" i="4"/>
  <c r="P24" i="4"/>
  <c r="O19" i="4"/>
  <c r="O20" i="4"/>
  <c r="P10" i="4"/>
  <c r="K10" i="4"/>
  <c r="L10" i="4"/>
  <c r="M10" i="4"/>
  <c r="N10" i="4"/>
  <c r="O10" i="4"/>
  <c r="O17" i="4"/>
  <c r="P19" i="4"/>
  <c r="M20" i="4"/>
  <c r="L19" i="4"/>
  <c r="K19" i="4"/>
  <c r="N19" i="4"/>
  <c r="N20" i="4"/>
  <c r="P20" i="4"/>
  <c r="M19" i="4"/>
  <c r="K20" i="4"/>
  <c r="L20" i="4"/>
  <c r="N17" i="4"/>
  <c r="M17" i="4"/>
  <c r="K17" i="4"/>
  <c r="L17" i="4"/>
  <c r="M16" i="4"/>
  <c r="L16" i="4"/>
  <c r="N16" i="4"/>
  <c r="K16" i="4"/>
  <c r="O33" i="4" l="1"/>
  <c r="O29" i="4"/>
  <c r="O28" i="4"/>
  <c r="O27" i="4"/>
  <c r="P29" i="4"/>
  <c r="P28" i="4"/>
  <c r="I28" i="2"/>
  <c r="D29" i="1"/>
  <c r="P33" i="4"/>
  <c r="P27" i="4"/>
  <c r="L1" i="4"/>
  <c r="M1" i="4"/>
  <c r="N1" i="4"/>
  <c r="K1" i="4"/>
  <c r="E5" i="4"/>
  <c r="E4" i="4"/>
  <c r="E3" i="4"/>
  <c r="E9" i="4"/>
  <c r="E8" i="4"/>
  <c r="E7" i="4"/>
  <c r="D5" i="4"/>
  <c r="D4" i="4"/>
  <c r="D3" i="4"/>
  <c r="F3" i="4" s="1"/>
  <c r="O3" i="4" s="1"/>
  <c r="D8" i="4"/>
  <c r="D7" i="4"/>
  <c r="F5" i="4" l="1"/>
  <c r="O5" i="4" s="1"/>
  <c r="A14" i="4"/>
  <c r="A17" i="4"/>
  <c r="A36" i="4"/>
  <c r="A21" i="4"/>
  <c r="A31" i="4"/>
  <c r="A19" i="4"/>
  <c r="A20" i="4"/>
  <c r="A29" i="4"/>
  <c r="F4" i="4"/>
  <c r="O4" i="4" s="1"/>
  <c r="A6" i="4"/>
  <c r="F8" i="4"/>
  <c r="O8" i="4" s="1"/>
  <c r="F9" i="4"/>
  <c r="F7" i="4"/>
  <c r="O7" i="4" s="1"/>
  <c r="M3" i="4"/>
  <c r="M5" i="4" l="1"/>
  <c r="L5" i="4"/>
  <c r="N5" i="4"/>
  <c r="K5" i="4"/>
  <c r="A5" i="4" s="1"/>
  <c r="P5" i="4"/>
  <c r="P4" i="4"/>
  <c r="P9" i="4"/>
  <c r="O9" i="4"/>
  <c r="N9" i="4"/>
  <c r="M9" i="4"/>
  <c r="L9" i="4"/>
  <c r="K9" i="4"/>
  <c r="P3" i="4"/>
  <c r="N3" i="4"/>
  <c r="K3" i="4"/>
  <c r="L3" i="4"/>
  <c r="K4" i="4"/>
  <c r="L4" i="4"/>
  <c r="N4" i="4"/>
  <c r="M4" i="4"/>
  <c r="M7" i="4"/>
  <c r="K7" i="4"/>
  <c r="L7" i="4"/>
  <c r="N7" i="4"/>
  <c r="P7" i="4"/>
  <c r="P8" i="4"/>
  <c r="K8" i="4"/>
  <c r="N8" i="4"/>
  <c r="L8" i="4"/>
  <c r="M8" i="4"/>
  <c r="H47" i="2"/>
  <c r="H44" i="2"/>
  <c r="H43" i="2"/>
  <c r="H42" i="2"/>
  <c r="H45" i="2"/>
  <c r="A3" i="4" l="1"/>
  <c r="A4" i="4"/>
  <c r="A7" i="4" l="1"/>
  <c r="A8" i="4" s="1"/>
  <c r="G30" i="3"/>
  <c r="F30" i="3"/>
  <c r="E30" i="3"/>
  <c r="D30" i="3"/>
  <c r="C30" i="3"/>
  <c r="B33" i="3" l="1"/>
  <c r="B32" i="3"/>
  <c r="B31" i="3"/>
  <c r="A9" i="4"/>
  <c r="A11" i="4" s="1"/>
  <c r="A10" i="4" l="1"/>
  <c r="I29" i="2"/>
  <c r="H29" i="2"/>
  <c r="A12" i="4" l="1"/>
  <c r="A13" i="4" s="1"/>
  <c r="D37" i="1"/>
  <c r="J38" i="4"/>
  <c r="S24" i="3"/>
  <c r="S25" i="3"/>
  <c r="S26" i="3"/>
  <c r="S27" i="3"/>
  <c r="S28" i="3"/>
  <c r="R25" i="3"/>
  <c r="N25" i="3" s="1"/>
  <c r="R26" i="3"/>
  <c r="N26" i="3" s="1"/>
  <c r="R27" i="3"/>
  <c r="N27" i="3" s="1"/>
  <c r="R28" i="3"/>
  <c r="N28" i="3" s="1"/>
  <c r="R29" i="3"/>
  <c r="R24" i="3"/>
  <c r="N24" i="3" s="1"/>
  <c r="A15" i="4" l="1"/>
  <c r="H26" i="3"/>
  <c r="G26" i="3"/>
  <c r="G23" i="3"/>
  <c r="P23" i="3" s="1"/>
  <c r="F23" i="3"/>
  <c r="E23" i="3"/>
  <c r="D23" i="3"/>
  <c r="C23" i="3"/>
  <c r="D15" i="3"/>
  <c r="E15" i="3"/>
  <c r="F15" i="3"/>
  <c r="G15" i="3"/>
  <c r="C15" i="3"/>
  <c r="A16" i="4" l="1"/>
  <c r="B26" i="3"/>
  <c r="B25" i="3"/>
  <c r="B24" i="3"/>
  <c r="A22" i="4" l="1"/>
  <c r="A18" i="4"/>
  <c r="A27" i="4"/>
  <c r="E23" i="1"/>
  <c r="E22" i="1"/>
  <c r="A23" i="4" l="1"/>
  <c r="D21" i="2"/>
  <c r="D24" i="2" s="1"/>
  <c r="D22" i="2"/>
  <c r="F21" i="2"/>
  <c r="F23" i="2" s="1"/>
  <c r="F22" i="2"/>
  <c r="F25" i="2" s="1"/>
  <c r="A24" i="4" l="1"/>
  <c r="A34" i="4"/>
  <c r="D25" i="2"/>
  <c r="D23" i="2"/>
  <c r="F24" i="2"/>
  <c r="A25" i="4" l="1"/>
  <c r="A26" i="4" s="1"/>
  <c r="B12" i="10"/>
  <c r="O9" i="6"/>
  <c r="M9" i="6" s="1"/>
  <c r="D52" i="2"/>
  <c r="H48" i="2"/>
  <c r="D59" i="2"/>
  <c r="J37" i="4"/>
  <c r="J36" i="4"/>
  <c r="J39" i="4"/>
  <c r="G59" i="2"/>
  <c r="H49" i="2"/>
  <c r="E59" i="2"/>
  <c r="G84" i="2"/>
  <c r="F52" i="2"/>
  <c r="F66" i="2" s="1"/>
  <c r="F80" i="2"/>
  <c r="F81" i="2" s="1"/>
  <c r="F84" i="2" s="1"/>
  <c r="F53" i="2" s="1"/>
  <c r="F54" i="2" s="1"/>
  <c r="F61" i="2" s="1"/>
  <c r="D81" i="2"/>
  <c r="F71" i="2"/>
  <c r="C71" i="2" s="1"/>
  <c r="E80" i="2"/>
  <c r="F34" i="6"/>
  <c r="E52" i="2"/>
  <c r="A28" i="4" l="1"/>
  <c r="A32" i="4" s="1"/>
  <c r="F55" i="2"/>
  <c r="M89" i="6"/>
  <c r="N89" i="6"/>
  <c r="M86" i="6"/>
  <c r="M76" i="6"/>
  <c r="F75" i="6"/>
  <c r="E74" i="6"/>
  <c r="L71" i="6"/>
  <c r="E69" i="6"/>
  <c r="D69" i="6"/>
  <c r="N76" i="6"/>
  <c r="D85" i="6"/>
  <c r="G76" i="6"/>
  <c r="K75" i="6"/>
  <c r="F74" i="6"/>
  <c r="F68" i="6"/>
  <c r="F69" i="6"/>
  <c r="G70" i="6"/>
  <c r="F86" i="6"/>
  <c r="C68" i="6"/>
  <c r="N86" i="6"/>
  <c r="O75" i="6"/>
  <c r="G74" i="6"/>
  <c r="E85" i="6"/>
  <c r="G89" i="6"/>
  <c r="N71" i="6"/>
  <c r="O70" i="6"/>
  <c r="C87" i="6"/>
  <c r="H70" i="6"/>
  <c r="O71" i="6"/>
  <c r="K88" i="6"/>
  <c r="O76" i="6"/>
  <c r="N85" i="6"/>
  <c r="G69" i="6"/>
  <c r="G88" i="6"/>
  <c r="C84" i="6"/>
  <c r="E73" i="6"/>
  <c r="H74" i="6"/>
  <c r="D76" i="6"/>
  <c r="D87" i="6"/>
  <c r="K70" i="6"/>
  <c r="M75" i="6"/>
  <c r="H69" i="6"/>
  <c r="K68" i="6"/>
  <c r="C72" i="6"/>
  <c r="G85" i="6"/>
  <c r="C67" i="6"/>
  <c r="M70" i="6"/>
  <c r="D84" i="6"/>
  <c r="E76" i="6"/>
  <c r="E87" i="6"/>
  <c r="M88" i="6"/>
  <c r="E71" i="6"/>
  <c r="L88" i="6"/>
  <c r="N70" i="6"/>
  <c r="D67" i="6"/>
  <c r="L74" i="6"/>
  <c r="M85" i="6"/>
  <c r="E84" i="6"/>
  <c r="E67" i="6"/>
  <c r="C69" i="6"/>
  <c r="M69" i="6"/>
  <c r="O74" i="6"/>
  <c r="G87" i="6"/>
  <c r="N74" i="6"/>
  <c r="D74" i="6"/>
  <c r="N69" i="6"/>
  <c r="C75" i="6"/>
  <c r="K87" i="6"/>
  <c r="D71" i="6"/>
  <c r="O69" i="6"/>
  <c r="D86" i="6"/>
  <c r="G72" i="6"/>
  <c r="E75" i="6"/>
  <c r="C70" i="6"/>
  <c r="M72" i="6"/>
  <c r="H72" i="6"/>
  <c r="M67" i="6"/>
  <c r="D70" i="6"/>
  <c r="H76" i="6"/>
  <c r="H67" i="6"/>
  <c r="H78" i="6" s="1"/>
  <c r="N84" i="6"/>
  <c r="K72" i="6"/>
  <c r="O68" i="6"/>
  <c r="N87" i="6"/>
  <c r="O67" i="6"/>
  <c r="N72" i="6"/>
  <c r="F85" i="6"/>
  <c r="F89" i="6"/>
  <c r="O72" i="6"/>
  <c r="C85" i="6"/>
  <c r="L89" i="6"/>
  <c r="C73" i="6"/>
  <c r="N75" i="6"/>
  <c r="L75" i="6"/>
  <c r="L70" i="6"/>
  <c r="F87" i="6"/>
  <c r="D72" i="6"/>
  <c r="K69" i="6"/>
  <c r="E72" i="6"/>
  <c r="O73" i="6"/>
  <c r="E68" i="6"/>
  <c r="F84" i="6"/>
  <c r="M74" i="6"/>
  <c r="G86" i="6"/>
  <c r="F73" i="6"/>
  <c r="G68" i="6"/>
  <c r="G84" i="6"/>
  <c r="L85" i="6"/>
  <c r="C89" i="6"/>
  <c r="K71" i="6"/>
  <c r="G73" i="6"/>
  <c r="G67" i="6"/>
  <c r="N88" i="6"/>
  <c r="C86" i="6"/>
  <c r="H73" i="6"/>
  <c r="K84" i="6"/>
  <c r="D75" i="6"/>
  <c r="C76" i="6"/>
  <c r="K67" i="6"/>
  <c r="H68" i="6"/>
  <c r="M87" i="6"/>
  <c r="L87" i="6"/>
  <c r="N68" i="6"/>
  <c r="D89" i="6"/>
  <c r="G71" i="6"/>
  <c r="L73" i="6"/>
  <c r="E89" i="6"/>
  <c r="N67" i="6"/>
  <c r="M73" i="6"/>
  <c r="H75" i="6"/>
  <c r="D88" i="6"/>
  <c r="H71" i="6"/>
  <c r="L72" i="6"/>
  <c r="C74" i="6"/>
  <c r="E88" i="6"/>
  <c r="K76" i="6"/>
  <c r="E70" i="6"/>
  <c r="M68" i="6"/>
  <c r="D68" i="6"/>
  <c r="F71" i="6"/>
  <c r="K85" i="6"/>
  <c r="N73" i="6"/>
  <c r="M71" i="6"/>
  <c r="K74" i="6"/>
  <c r="L69" i="6"/>
  <c r="C71" i="6"/>
  <c r="F72" i="6"/>
  <c r="L76" i="6"/>
  <c r="L86" i="6"/>
  <c r="F67" i="6"/>
  <c r="L68" i="6"/>
  <c r="K73" i="6"/>
  <c r="M84" i="6"/>
  <c r="L84" i="6"/>
  <c r="G75" i="6"/>
  <c r="K89" i="6"/>
  <c r="L67" i="6"/>
  <c r="F76" i="6"/>
  <c r="E86" i="6"/>
  <c r="C88" i="6"/>
  <c r="D73" i="6"/>
  <c r="K86" i="6"/>
  <c r="F88" i="6"/>
  <c r="F70" i="6"/>
  <c r="C46" i="1"/>
  <c r="B152" i="13" s="1"/>
  <c r="C48" i="1"/>
  <c r="B154" i="13" s="1"/>
  <c r="C47" i="1"/>
  <c r="B153" i="13" s="1"/>
  <c r="D47" i="1"/>
  <c r="C153" i="13" s="1"/>
  <c r="D46" i="1"/>
  <c r="C152" i="13" s="1"/>
  <c r="G52" i="2"/>
  <c r="C80" i="2"/>
  <c r="C81" i="2" s="1"/>
  <c r="C84" i="2" s="1"/>
  <c r="F67" i="2"/>
  <c r="K42" i="6"/>
  <c r="D35" i="6"/>
  <c r="H42" i="6"/>
  <c r="H34" i="6"/>
  <c r="D51" i="6"/>
  <c r="D84" i="2"/>
  <c r="D53" i="2" s="1"/>
  <c r="D54" i="2" s="1"/>
  <c r="D85" i="2"/>
  <c r="F65" i="2"/>
  <c r="E51" i="6"/>
  <c r="F36" i="6"/>
  <c r="N53" i="6"/>
  <c r="E38" i="6"/>
  <c r="G52" i="6"/>
  <c r="M35" i="6"/>
  <c r="E81" i="2"/>
  <c r="E84" i="2" s="1"/>
  <c r="E53" i="2" s="1"/>
  <c r="K35" i="6"/>
  <c r="C35" i="6"/>
  <c r="L36" i="6"/>
  <c r="L41" i="6"/>
  <c r="L40" i="6"/>
  <c r="C55" i="6"/>
  <c r="F53" i="6"/>
  <c r="C34" i="6"/>
  <c r="H38" i="6"/>
  <c r="H33" i="6"/>
  <c r="C50" i="6"/>
  <c r="D54" i="6"/>
  <c r="C54" i="6"/>
  <c r="C40" i="6"/>
  <c r="D38" i="6"/>
  <c r="F55" i="6"/>
  <c r="H39" i="6"/>
  <c r="F41" i="6"/>
  <c r="K54" i="6"/>
  <c r="K55" i="6"/>
  <c r="K37" i="6"/>
  <c r="M40" i="6"/>
  <c r="M34" i="6"/>
  <c r="K50" i="6"/>
  <c r="K34" i="6"/>
  <c r="O38" i="6"/>
  <c r="N33" i="6"/>
  <c r="O42" i="6"/>
  <c r="D36" i="6"/>
  <c r="H35" i="6"/>
  <c r="E36" i="6"/>
  <c r="O36" i="6"/>
  <c r="M36" i="6"/>
  <c r="K51" i="6"/>
  <c r="N35" i="6"/>
  <c r="O35" i="6"/>
  <c r="D42" i="6"/>
  <c r="E41" i="6"/>
  <c r="C38" i="6"/>
  <c r="E50" i="6"/>
  <c r="G38" i="6"/>
  <c r="D50" i="6"/>
  <c r="C52" i="6"/>
  <c r="G34" i="6"/>
  <c r="F42" i="6"/>
  <c r="C42" i="6"/>
  <c r="F37" i="6"/>
  <c r="F38" i="6"/>
  <c r="M50" i="6"/>
  <c r="N52" i="6"/>
  <c r="L33" i="6"/>
  <c r="K52" i="6"/>
  <c r="K40" i="6"/>
  <c r="M39" i="6"/>
  <c r="K41" i="6"/>
  <c r="K39" i="6"/>
  <c r="L50" i="6"/>
  <c r="L52" i="6"/>
  <c r="G54" i="6"/>
  <c r="H37" i="6"/>
  <c r="D40" i="6"/>
  <c r="F52" i="6"/>
  <c r="E33" i="6"/>
  <c r="G50" i="6"/>
  <c r="E37" i="6"/>
  <c r="G37" i="6"/>
  <c r="E52" i="6"/>
  <c r="E34" i="6"/>
  <c r="F39" i="6"/>
  <c r="G53" i="6"/>
  <c r="O39" i="6"/>
  <c r="N37" i="6"/>
  <c r="N39" i="6"/>
  <c r="N55" i="6"/>
  <c r="L53" i="6"/>
  <c r="L34" i="6"/>
  <c r="M54" i="6"/>
  <c r="N40" i="6"/>
  <c r="N41" i="6"/>
  <c r="M55" i="6"/>
  <c r="C36" i="6"/>
  <c r="F35" i="6"/>
  <c r="G36" i="6"/>
  <c r="G51" i="6"/>
  <c r="N51" i="6"/>
  <c r="K36" i="6"/>
  <c r="C51" i="6"/>
  <c r="M51" i="6"/>
  <c r="G55" i="6"/>
  <c r="G41" i="6"/>
  <c r="C37" i="6"/>
  <c r="F50" i="6"/>
  <c r="D39" i="6"/>
  <c r="H41" i="6"/>
  <c r="D52" i="6"/>
  <c r="C39" i="6"/>
  <c r="E54" i="6"/>
  <c r="G39" i="6"/>
  <c r="E40" i="6"/>
  <c r="D53" i="6"/>
  <c r="D41" i="6"/>
  <c r="L38" i="6"/>
  <c r="L39" i="6"/>
  <c r="N34" i="6"/>
  <c r="L54" i="6"/>
  <c r="M53" i="6"/>
  <c r="M42" i="6"/>
  <c r="L37" i="6"/>
  <c r="L42" i="6"/>
  <c r="K33" i="6"/>
  <c r="M37" i="6"/>
  <c r="D33" i="6"/>
  <c r="G42" i="6"/>
  <c r="G33" i="6"/>
  <c r="D37" i="6"/>
  <c r="F33" i="6"/>
  <c r="F40" i="6"/>
  <c r="D34" i="6"/>
  <c r="F54" i="6"/>
  <c r="C41" i="6"/>
  <c r="G40" i="6"/>
  <c r="E53" i="6"/>
  <c r="H40" i="6"/>
  <c r="L55" i="6"/>
  <c r="N54" i="6"/>
  <c r="K38" i="6"/>
  <c r="O34" i="6"/>
  <c r="O41" i="6"/>
  <c r="O33" i="6"/>
  <c r="O37" i="6"/>
  <c r="N50" i="6"/>
  <c r="M33" i="6"/>
  <c r="N42" i="6"/>
  <c r="F51" i="6"/>
  <c r="N36" i="6"/>
  <c r="M38" i="6"/>
  <c r="O40" i="6"/>
  <c r="E39" i="6"/>
  <c r="L35" i="6"/>
  <c r="H36" i="6"/>
  <c r="N38" i="6"/>
  <c r="M41" i="6"/>
  <c r="C53" i="6"/>
  <c r="E55" i="6"/>
  <c r="E35" i="6"/>
  <c r="L51" i="6"/>
  <c r="G35" i="6"/>
  <c r="M52" i="6"/>
  <c r="K53" i="6"/>
  <c r="E42" i="6"/>
  <c r="D55" i="6"/>
  <c r="A30" i="4" l="1"/>
  <c r="A35" i="4" s="1"/>
  <c r="D78" i="6"/>
  <c r="G54" i="2"/>
  <c r="G61" i="2" s="1"/>
  <c r="G65" i="2"/>
  <c r="M79" i="6"/>
  <c r="E54" i="2"/>
  <c r="E61" i="2" s="1"/>
  <c r="D61" i="2"/>
  <c r="D55" i="2"/>
  <c r="D57" i="2" s="1"/>
  <c r="E55" i="2"/>
  <c r="G55" i="2"/>
  <c r="G56" i="2" s="1"/>
  <c r="G58" i="2" s="1"/>
  <c r="D91" i="6"/>
  <c r="G79" i="6"/>
  <c r="M78" i="6"/>
  <c r="G91" i="6"/>
  <c r="L78" i="6"/>
  <c r="M91" i="6"/>
  <c r="G78" i="6"/>
  <c r="N91" i="6"/>
  <c r="L79" i="6"/>
  <c r="K91" i="6"/>
  <c r="N78" i="6"/>
  <c r="D79" i="6"/>
  <c r="K79" i="6"/>
  <c r="C78" i="6"/>
  <c r="F91" i="6"/>
  <c r="C79" i="6"/>
  <c r="C91" i="6"/>
  <c r="O79" i="6"/>
  <c r="N79" i="6"/>
  <c r="L91" i="6"/>
  <c r="H79" i="6"/>
  <c r="E79" i="6"/>
  <c r="F78" i="6"/>
  <c r="E78" i="6"/>
  <c r="F79" i="6"/>
  <c r="E91" i="6"/>
  <c r="K78" i="6"/>
  <c r="O78" i="6"/>
  <c r="C52" i="2"/>
  <c r="D48" i="1"/>
  <c r="B17" i="10"/>
  <c r="C152" i="11"/>
  <c r="A17" i="10"/>
  <c r="B152" i="11"/>
  <c r="B16" i="10"/>
  <c r="C151" i="11"/>
  <c r="A18" i="10"/>
  <c r="B153" i="11"/>
  <c r="B151" i="11"/>
  <c r="A16" i="10"/>
  <c r="F73" i="2"/>
  <c r="C73" i="2" s="1"/>
  <c r="C66" i="2"/>
  <c r="F68" i="2"/>
  <c r="C67" i="2"/>
  <c r="F57" i="6"/>
  <c r="L57" i="6"/>
  <c r="G45" i="6"/>
  <c r="C45" i="6"/>
  <c r="D44" i="6"/>
  <c r="G44" i="6"/>
  <c r="F69" i="2"/>
  <c r="C69" i="2" s="1"/>
  <c r="I172" i="11" s="1"/>
  <c r="D57" i="6"/>
  <c r="H45" i="6"/>
  <c r="O45" i="6"/>
  <c r="D45" i="6"/>
  <c r="N57" i="6"/>
  <c r="E45" i="6"/>
  <c r="K44" i="6"/>
  <c r="G57" i="6"/>
  <c r="O44" i="6"/>
  <c r="E44" i="6"/>
  <c r="F45" i="6"/>
  <c r="K45" i="6"/>
  <c r="C44" i="6"/>
  <c r="H44" i="6"/>
  <c r="E65" i="2"/>
  <c r="C53" i="2"/>
  <c r="H86" i="13" s="1"/>
  <c r="E57" i="6"/>
  <c r="N44" i="6"/>
  <c r="M44" i="6"/>
  <c r="L44" i="6"/>
  <c r="M57" i="6"/>
  <c r="F44" i="6"/>
  <c r="K57" i="6"/>
  <c r="F57" i="2"/>
  <c r="F56" i="2"/>
  <c r="N45" i="6"/>
  <c r="C57" i="6"/>
  <c r="M45" i="6"/>
  <c r="L45" i="6"/>
  <c r="D65" i="2"/>
  <c r="A33" i="4" l="1"/>
  <c r="A37" i="4" s="1"/>
  <c r="H170" i="11"/>
  <c r="F58" i="2"/>
  <c r="G172" i="11"/>
  <c r="H172" i="11"/>
  <c r="F70" i="2"/>
  <c r="C70" i="2" s="1"/>
  <c r="C68" i="2"/>
  <c r="C61" i="2"/>
  <c r="D56" i="2"/>
  <c r="C56" i="2" s="1"/>
  <c r="R14" i="9"/>
  <c r="T14" i="9" s="1"/>
  <c r="X14" i="9" s="1"/>
  <c r="R20" i="9"/>
  <c r="T20" i="9" s="1"/>
  <c r="AB20" i="9" s="1"/>
  <c r="F90" i="11"/>
  <c r="F90" i="13"/>
  <c r="C154" i="13"/>
  <c r="G99" i="2"/>
  <c r="H86" i="11"/>
  <c r="R21" i="9"/>
  <c r="T21" i="9" s="1"/>
  <c r="X21" i="9" s="1"/>
  <c r="H99" i="2"/>
  <c r="F99" i="2"/>
  <c r="F98" i="2"/>
  <c r="E100" i="2"/>
  <c r="S27" i="9"/>
  <c r="U27" i="9" s="1"/>
  <c r="S28" i="9"/>
  <c r="U28" i="9" s="1"/>
  <c r="R28" i="9"/>
  <c r="T28" i="9" s="1"/>
  <c r="R31" i="9"/>
  <c r="T31" i="9" s="1"/>
  <c r="S34" i="9"/>
  <c r="U34" i="9" s="1"/>
  <c r="R27" i="9"/>
  <c r="T27" i="9" s="1"/>
  <c r="S33" i="9"/>
  <c r="U33" i="9" s="1"/>
  <c r="E29" i="9"/>
  <c r="G29" i="9" s="1"/>
  <c r="D29" i="9"/>
  <c r="F29" i="9" s="1"/>
  <c r="E32" i="9"/>
  <c r="G32" i="9" s="1"/>
  <c r="E31" i="9"/>
  <c r="G31" i="9" s="1"/>
  <c r="D31" i="9"/>
  <c r="F31" i="9" s="1"/>
  <c r="E34" i="9"/>
  <c r="G34" i="9" s="1"/>
  <c r="D34" i="9"/>
  <c r="F34" i="9" s="1"/>
  <c r="D32" i="9"/>
  <c r="F32" i="9" s="1"/>
  <c r="S29" i="9"/>
  <c r="U29" i="9" s="1"/>
  <c r="R30" i="9"/>
  <c r="T30" i="9" s="1"/>
  <c r="S30" i="9"/>
  <c r="U30" i="9" s="1"/>
  <c r="S26" i="9"/>
  <c r="U26" i="9" s="1"/>
  <c r="S25" i="9"/>
  <c r="U25" i="9" s="1"/>
  <c r="R25" i="9"/>
  <c r="T25" i="9" s="1"/>
  <c r="R26" i="9"/>
  <c r="T26" i="9" s="1"/>
  <c r="E28" i="9"/>
  <c r="G28" i="9" s="1"/>
  <c r="D28" i="9"/>
  <c r="F28" i="9" s="1"/>
  <c r="E27" i="9"/>
  <c r="G27" i="9" s="1"/>
  <c r="D27" i="9"/>
  <c r="F27" i="9" s="1"/>
  <c r="R34" i="9"/>
  <c r="T34" i="9" s="1"/>
  <c r="E35" i="9"/>
  <c r="G35" i="9" s="1"/>
  <c r="D35" i="9"/>
  <c r="F35" i="9" s="1"/>
  <c r="R29" i="9"/>
  <c r="T29" i="9" s="1"/>
  <c r="R32" i="9"/>
  <c r="T32" i="9" s="1"/>
  <c r="S35" i="9"/>
  <c r="U35" i="9" s="1"/>
  <c r="R35" i="9"/>
  <c r="T35" i="9" s="1"/>
  <c r="E33" i="9"/>
  <c r="G33" i="9" s="1"/>
  <c r="D33" i="9"/>
  <c r="F33" i="9" s="1"/>
  <c r="S31" i="9"/>
  <c r="U31" i="9" s="1"/>
  <c r="E26" i="9"/>
  <c r="G26" i="9" s="1"/>
  <c r="E25" i="9"/>
  <c r="G25" i="9" s="1"/>
  <c r="E30" i="9"/>
  <c r="G30" i="9" s="1"/>
  <c r="D25" i="9"/>
  <c r="F25" i="9" s="1"/>
  <c r="D30" i="9"/>
  <c r="F30" i="9" s="1"/>
  <c r="D26" i="9"/>
  <c r="F26" i="9" s="1"/>
  <c r="R33" i="9"/>
  <c r="T33" i="9" s="1"/>
  <c r="S32" i="9"/>
  <c r="U32" i="9" s="1"/>
  <c r="E16" i="9"/>
  <c r="G16" i="9" s="1"/>
  <c r="D16" i="9"/>
  <c r="F16" i="9" s="1"/>
  <c r="E22" i="9"/>
  <c r="G22" i="9" s="1"/>
  <c r="D22" i="9"/>
  <c r="F22" i="9" s="1"/>
  <c r="E20" i="9"/>
  <c r="G20" i="9" s="1"/>
  <c r="E19" i="9"/>
  <c r="G19" i="9" s="1"/>
  <c r="E18" i="9"/>
  <c r="G18" i="9" s="1"/>
  <c r="E21" i="9"/>
  <c r="G21" i="9" s="1"/>
  <c r="D21" i="9"/>
  <c r="F21" i="9" s="1"/>
  <c r="D18" i="9"/>
  <c r="F18" i="9" s="1"/>
  <c r="J18" i="9" s="1"/>
  <c r="D19" i="9"/>
  <c r="F19" i="9" s="1"/>
  <c r="E17" i="9"/>
  <c r="G17" i="9" s="1"/>
  <c r="D17" i="9"/>
  <c r="F17" i="9" s="1"/>
  <c r="H97" i="2"/>
  <c r="D99" i="2"/>
  <c r="G100" i="2"/>
  <c r="G98" i="2"/>
  <c r="F100" i="2"/>
  <c r="E98" i="2"/>
  <c r="R16" i="9"/>
  <c r="T16" i="9" s="1"/>
  <c r="AB16" i="9" s="1"/>
  <c r="C99" i="2"/>
  <c r="C100" i="2"/>
  <c r="C98" i="2"/>
  <c r="S14" i="9"/>
  <c r="U14" i="9" s="1"/>
  <c r="S20" i="9"/>
  <c r="U20" i="9" s="1"/>
  <c r="R22" i="9"/>
  <c r="T22" i="9" s="1"/>
  <c r="S22" i="9"/>
  <c r="U22" i="9" s="1"/>
  <c r="S17" i="9"/>
  <c r="U17" i="9" s="1"/>
  <c r="S13" i="9"/>
  <c r="U13" i="9" s="1"/>
  <c r="S12" i="9"/>
  <c r="U12" i="9" s="1"/>
  <c r="Y12" i="9" s="1"/>
  <c r="R17" i="9"/>
  <c r="T17" i="9" s="1"/>
  <c r="R13" i="9"/>
  <c r="T13" i="9" s="1"/>
  <c r="R12" i="9"/>
  <c r="T12" i="9" s="1"/>
  <c r="R19" i="9"/>
  <c r="T19" i="9" s="1"/>
  <c r="S21" i="9"/>
  <c r="U21" i="9" s="1"/>
  <c r="R15" i="9"/>
  <c r="T15" i="9" s="1"/>
  <c r="R18" i="9"/>
  <c r="T18" i="9" s="1"/>
  <c r="S16" i="9"/>
  <c r="U16" i="9" s="1"/>
  <c r="S15" i="9"/>
  <c r="U15" i="9" s="1"/>
  <c r="S18" i="9"/>
  <c r="U18" i="9" s="1"/>
  <c r="S19" i="9"/>
  <c r="U19" i="9" s="1"/>
  <c r="F94" i="2"/>
  <c r="C91" i="2"/>
  <c r="E91" i="2"/>
  <c r="H39" i="1"/>
  <c r="G93" i="2"/>
  <c r="H94" i="2"/>
  <c r="F93" i="2"/>
  <c r="C92" i="2"/>
  <c r="F92" i="2"/>
  <c r="H90" i="2"/>
  <c r="D92" i="2"/>
  <c r="G90" i="2"/>
  <c r="B18" i="10"/>
  <c r="C153" i="11"/>
  <c r="D12" i="9"/>
  <c r="F12" i="9" s="1"/>
  <c r="G57" i="2"/>
  <c r="C57" i="2" s="1"/>
  <c r="C65" i="2"/>
  <c r="C30" i="2" s="1"/>
  <c r="E12" i="9"/>
  <c r="G12" i="9" s="1"/>
  <c r="E14" i="9"/>
  <c r="G14" i="9" s="1"/>
  <c r="D13" i="9"/>
  <c r="F13" i="9" s="1"/>
  <c r="D15" i="9"/>
  <c r="F15" i="9" s="1"/>
  <c r="E13" i="9"/>
  <c r="G13" i="9" s="1"/>
  <c r="E15" i="9"/>
  <c r="G15" i="9" s="1"/>
  <c r="E56" i="2"/>
  <c r="E58" i="2" s="1"/>
  <c r="C55" i="2"/>
  <c r="E57" i="2"/>
  <c r="D14" i="9"/>
  <c r="F14" i="9" s="1"/>
  <c r="C54" i="2"/>
  <c r="D20" i="9"/>
  <c r="F20" i="9" s="1"/>
  <c r="H98" i="2"/>
  <c r="D100" i="2"/>
  <c r="E97" i="2"/>
  <c r="D90" i="2"/>
  <c r="C90" i="2"/>
  <c r="C97" i="2"/>
  <c r="E90" i="2"/>
  <c r="H40" i="1"/>
  <c r="G92" i="2"/>
  <c r="E94" i="2"/>
  <c r="D97" i="2"/>
  <c r="H91" i="2"/>
  <c r="D93" i="2"/>
  <c r="C94" i="2"/>
  <c r="G91" i="2"/>
  <c r="D94" i="2"/>
  <c r="C93" i="2"/>
  <c r="F91" i="2"/>
  <c r="H92" i="2"/>
  <c r="E93" i="2"/>
  <c r="C49" i="1" l="1"/>
  <c r="D49" i="1"/>
  <c r="D58" i="2"/>
  <c r="C58" i="2" s="1"/>
  <c r="A38" i="4"/>
  <c r="A39" i="4" s="1"/>
  <c r="C54" i="1" s="1"/>
  <c r="C170" i="11"/>
  <c r="H171" i="11"/>
  <c r="I171" i="11"/>
  <c r="B172" i="11"/>
  <c r="D172" i="11"/>
  <c r="C172" i="11"/>
  <c r="X20" i="9"/>
  <c r="AB14" i="9"/>
  <c r="AB21" i="9"/>
  <c r="I92" i="2"/>
  <c r="I99" i="2"/>
  <c r="I98" i="2"/>
  <c r="X16" i="9"/>
  <c r="I91" i="2"/>
  <c r="N18" i="9"/>
  <c r="M18" i="9"/>
  <c r="L18" i="9"/>
  <c r="M15" i="9"/>
  <c r="L15" i="9"/>
  <c r="H21" i="9"/>
  <c r="V21" i="9"/>
  <c r="J12" i="9"/>
  <c r="N12" i="9"/>
  <c r="J17" i="9"/>
  <c r="N17" i="9"/>
  <c r="M21" i="9"/>
  <c r="K21" i="9"/>
  <c r="I21" i="9"/>
  <c r="W21" i="9"/>
  <c r="L21" i="9"/>
  <c r="J19" i="9"/>
  <c r="N19" i="9"/>
  <c r="M12" i="9"/>
  <c r="L12" i="9"/>
  <c r="J16" i="9"/>
  <c r="N16" i="9"/>
  <c r="W22" i="9"/>
  <c r="M22" i="9"/>
  <c r="L22" i="9"/>
  <c r="J22" i="9"/>
  <c r="N22" i="9"/>
  <c r="M13" i="9"/>
  <c r="L13" i="9"/>
  <c r="J20" i="9"/>
  <c r="N20" i="9"/>
  <c r="W20" i="9"/>
  <c r="M20" i="9"/>
  <c r="L20" i="9"/>
  <c r="J15" i="9"/>
  <c r="N15" i="9"/>
  <c r="M14" i="9"/>
  <c r="L14" i="9"/>
  <c r="J14" i="9"/>
  <c r="N14" i="9"/>
  <c r="J13" i="9"/>
  <c r="N13" i="9"/>
  <c r="J21" i="9"/>
  <c r="N21" i="9"/>
  <c r="W19" i="9"/>
  <c r="M19" i="9"/>
  <c r="L19" i="9"/>
  <c r="Z15" i="9"/>
  <c r="Y15" i="9"/>
  <c r="AA15" i="9"/>
  <c r="AA16" i="9"/>
  <c r="Y16" i="9"/>
  <c r="Z16" i="9"/>
  <c r="X12" i="9"/>
  <c r="AB12" i="9"/>
  <c r="X22" i="9"/>
  <c r="AB22" i="9"/>
  <c r="Y20" i="9"/>
  <c r="Z20" i="9"/>
  <c r="AA20" i="9"/>
  <c r="X15" i="9"/>
  <c r="AB15" i="9"/>
  <c r="Y22" i="9"/>
  <c r="Z22" i="9"/>
  <c r="AA22" i="9"/>
  <c r="X19" i="9"/>
  <c r="AB19" i="9"/>
  <c r="X17" i="9"/>
  <c r="AB17" i="9"/>
  <c r="Z13" i="9"/>
  <c r="AA13" i="9"/>
  <c r="Y13" i="9"/>
  <c r="Y17" i="9"/>
  <c r="Z17" i="9"/>
  <c r="AA17" i="9"/>
  <c r="Y19" i="9"/>
  <c r="AA19" i="9"/>
  <c r="Z19" i="9"/>
  <c r="Y18" i="9"/>
  <c r="Z18" i="9"/>
  <c r="AA18" i="9"/>
  <c r="Y14" i="9"/>
  <c r="AA14" i="9"/>
  <c r="Z14" i="9"/>
  <c r="Z21" i="9"/>
  <c r="AA21" i="9"/>
  <c r="Y21" i="9"/>
  <c r="X13" i="9"/>
  <c r="AB13" i="9"/>
  <c r="X18" i="9"/>
  <c r="AB18" i="9"/>
  <c r="Z12" i="9"/>
  <c r="AA12" i="9"/>
  <c r="L16" i="9"/>
  <c r="M16" i="9"/>
  <c r="L17" i="9"/>
  <c r="M17" i="9"/>
  <c r="V13" i="9"/>
  <c r="W13" i="9"/>
  <c r="V19" i="9"/>
  <c r="K16" i="9"/>
  <c r="V16" i="9"/>
  <c r="W16" i="9"/>
  <c r="W12" i="9"/>
  <c r="V12" i="9"/>
  <c r="V18" i="9"/>
  <c r="K18" i="9"/>
  <c r="W18" i="9"/>
  <c r="W15" i="9"/>
  <c r="V15" i="9"/>
  <c r="V22" i="9"/>
  <c r="V20" i="9"/>
  <c r="W14" i="9"/>
  <c r="V14" i="9"/>
  <c r="K17" i="9"/>
  <c r="W17" i="9"/>
  <c r="V17" i="9"/>
  <c r="H20" i="9"/>
  <c r="K14" i="9"/>
  <c r="I15" i="9"/>
  <c r="K15" i="9"/>
  <c r="I13" i="9"/>
  <c r="K13" i="9"/>
  <c r="H12" i="9"/>
  <c r="K12" i="9"/>
  <c r="I20" i="9"/>
  <c r="K20" i="9"/>
  <c r="I22" i="9"/>
  <c r="K22" i="9"/>
  <c r="I19" i="9"/>
  <c r="K19" i="9"/>
  <c r="I18" i="9"/>
  <c r="I100" i="2"/>
  <c r="I97" i="2"/>
  <c r="A97" i="2" s="1"/>
  <c r="I90" i="2"/>
  <c r="A90" i="2" s="1"/>
  <c r="I93" i="2"/>
  <c r="I94" i="2"/>
  <c r="I12" i="9"/>
  <c r="H18" i="9"/>
  <c r="H14" i="9"/>
  <c r="I14" i="9"/>
  <c r="H19" i="9"/>
  <c r="H13" i="9"/>
  <c r="H15" i="9"/>
  <c r="H22" i="9"/>
  <c r="I16" i="9"/>
  <c r="H16" i="9"/>
  <c r="I17" i="9"/>
  <c r="H17" i="9"/>
  <c r="G57" i="1" l="1"/>
  <c r="H163" i="13" s="1"/>
  <c r="C52" i="1"/>
  <c r="A22" i="10" s="1"/>
  <c r="C57" i="1"/>
  <c r="A27" i="10" s="1"/>
  <c r="C155" i="13"/>
  <c r="B19" i="10"/>
  <c r="C154" i="11"/>
  <c r="C50" i="1"/>
  <c r="D53" i="1"/>
  <c r="B23" i="10" s="1"/>
  <c r="D52" i="1"/>
  <c r="C158" i="13" s="1"/>
  <c r="D51" i="1"/>
  <c r="G56" i="1"/>
  <c r="D26" i="10" s="1"/>
  <c r="F26" i="10" s="1"/>
  <c r="G55" i="1"/>
  <c r="H161" i="13" s="1"/>
  <c r="C51" i="1"/>
  <c r="D50" i="1"/>
  <c r="G54" i="1"/>
  <c r="H160" i="13" s="1"/>
  <c r="A19" i="10"/>
  <c r="B154" i="11"/>
  <c r="B155" i="13"/>
  <c r="C56" i="1"/>
  <c r="B162" i="13" s="1"/>
  <c r="D55" i="1"/>
  <c r="B25" i="10" s="1"/>
  <c r="D54" i="1"/>
  <c r="B24" i="10" s="1"/>
  <c r="D56" i="1"/>
  <c r="B26" i="10" s="1"/>
  <c r="C53" i="1"/>
  <c r="B159" i="13" s="1"/>
  <c r="D57" i="1"/>
  <c r="C163" i="13" s="1"/>
  <c r="C55" i="1"/>
  <c r="B160" i="11" s="1"/>
  <c r="B160" i="13"/>
  <c r="A24" i="10"/>
  <c r="B159" i="11"/>
  <c r="D171" i="11"/>
  <c r="C171" i="11"/>
  <c r="G46" i="9"/>
  <c r="H46" i="9"/>
  <c r="G43" i="9"/>
  <c r="H43" i="9"/>
  <c r="G47" i="9"/>
  <c r="H47" i="9"/>
  <c r="J48" i="9"/>
  <c r="K48" i="9"/>
  <c r="H41" i="9"/>
  <c r="G41" i="9"/>
  <c r="K44" i="9"/>
  <c r="J44" i="9"/>
  <c r="G45" i="9"/>
  <c r="H45" i="9"/>
  <c r="J46" i="9"/>
  <c r="K46" i="9"/>
  <c r="G48" i="9"/>
  <c r="H48" i="9"/>
  <c r="G42" i="9"/>
  <c r="H42" i="9"/>
  <c r="J41" i="9"/>
  <c r="K41" i="9"/>
  <c r="J49" i="9"/>
  <c r="K49" i="9"/>
  <c r="J50" i="9"/>
  <c r="K50" i="9"/>
  <c r="J43" i="9"/>
  <c r="K43" i="9"/>
  <c r="H51" i="9"/>
  <c r="G51" i="9"/>
  <c r="G44" i="9"/>
  <c r="H44" i="9"/>
  <c r="K42" i="9"/>
  <c r="J42" i="9"/>
  <c r="J51" i="9"/>
  <c r="K51" i="9"/>
  <c r="H50" i="9"/>
  <c r="G50" i="9"/>
  <c r="H49" i="9"/>
  <c r="G49" i="9"/>
  <c r="J45" i="9"/>
  <c r="K45" i="9"/>
  <c r="J47" i="9"/>
  <c r="K47" i="9"/>
  <c r="D46" i="9"/>
  <c r="E46" i="9"/>
  <c r="D42" i="9"/>
  <c r="E42" i="9"/>
  <c r="D44" i="9"/>
  <c r="E44" i="9"/>
  <c r="D49" i="9"/>
  <c r="E49" i="9"/>
  <c r="D48" i="9"/>
  <c r="E48" i="9"/>
  <c r="D43" i="9"/>
  <c r="E43" i="9"/>
  <c r="E41" i="9"/>
  <c r="D41" i="9"/>
  <c r="D50" i="9"/>
  <c r="E50" i="9"/>
  <c r="D45" i="9"/>
  <c r="E45" i="9"/>
  <c r="D51" i="9"/>
  <c r="E51" i="9"/>
  <c r="E47" i="9"/>
  <c r="D47" i="9"/>
  <c r="N68" i="9"/>
  <c r="N63" i="9"/>
  <c r="Q63" i="9"/>
  <c r="M61" i="9"/>
  <c r="L67" i="9"/>
  <c r="I63" i="9"/>
  <c r="E63" i="9"/>
  <c r="H63" i="9"/>
  <c r="D67" i="9"/>
  <c r="Y63" i="9"/>
  <c r="I68" i="9"/>
  <c r="X63" i="9"/>
  <c r="N67" i="9"/>
  <c r="H61" i="9"/>
  <c r="I61" i="9"/>
  <c r="D63" i="9"/>
  <c r="F63" i="9"/>
  <c r="G63" i="9"/>
  <c r="O67" i="9"/>
  <c r="M67" i="9"/>
  <c r="M68" i="9"/>
  <c r="V67" i="9"/>
  <c r="O68" i="9"/>
  <c r="J68" i="9"/>
  <c r="V61" i="9"/>
  <c r="H68" i="9"/>
  <c r="Q61" i="9"/>
  <c r="V63" i="9"/>
  <c r="E67" i="9"/>
  <c r="L68" i="9"/>
  <c r="K68" i="9"/>
  <c r="J67" i="9"/>
  <c r="K67" i="9"/>
  <c r="X67" i="9"/>
  <c r="E68" i="9"/>
  <c r="Q67" i="9"/>
  <c r="X61" i="9"/>
  <c r="D61" i="9"/>
  <c r="G67" i="9"/>
  <c r="H64" i="9"/>
  <c r="F64" i="9"/>
  <c r="E64" i="9"/>
  <c r="D64" i="9"/>
  <c r="I64" i="9"/>
  <c r="G64" i="9"/>
  <c r="Q64" i="9"/>
  <c r="V64" i="9"/>
  <c r="W64" i="9"/>
  <c r="X64" i="9"/>
  <c r="Y64" i="9"/>
  <c r="D66" i="9"/>
  <c r="I66" i="9"/>
  <c r="H66" i="9"/>
  <c r="G66" i="9"/>
  <c r="F66" i="9"/>
  <c r="E66" i="9"/>
  <c r="Q66" i="9"/>
  <c r="W66" i="9"/>
  <c r="V66" i="9"/>
  <c r="X66" i="9"/>
  <c r="Y66" i="9"/>
  <c r="K66" i="9"/>
  <c r="L66" i="9"/>
  <c r="J66" i="9"/>
  <c r="M66" i="9"/>
  <c r="O66" i="9"/>
  <c r="N66" i="9"/>
  <c r="I69" i="9"/>
  <c r="H69" i="9"/>
  <c r="G69" i="9"/>
  <c r="F69" i="9"/>
  <c r="E69" i="9"/>
  <c r="D69" i="9"/>
  <c r="Q69" i="9"/>
  <c r="V69" i="9"/>
  <c r="X69" i="9"/>
  <c r="W69" i="9"/>
  <c r="Y69" i="9"/>
  <c r="K69" i="9"/>
  <c r="L69" i="9"/>
  <c r="J69" i="9"/>
  <c r="M69" i="9"/>
  <c r="O69" i="9"/>
  <c r="N69" i="9"/>
  <c r="D68" i="9"/>
  <c r="W61" i="9"/>
  <c r="F68" i="9"/>
  <c r="W63" i="9"/>
  <c r="H67" i="9"/>
  <c r="W68" i="9"/>
  <c r="I62" i="9"/>
  <c r="H62" i="9"/>
  <c r="G62" i="9"/>
  <c r="F62" i="9"/>
  <c r="E62" i="9"/>
  <c r="D62" i="9"/>
  <c r="Q62" i="9"/>
  <c r="V62" i="9"/>
  <c r="W62" i="9"/>
  <c r="Y62" i="9"/>
  <c r="X62" i="9"/>
  <c r="D60" i="9"/>
  <c r="I60" i="9"/>
  <c r="H60" i="9"/>
  <c r="G60" i="9"/>
  <c r="F60" i="9"/>
  <c r="E60" i="9"/>
  <c r="Q60" i="9"/>
  <c r="V60" i="9"/>
  <c r="X60" i="9"/>
  <c r="Y60" i="9"/>
  <c r="W60" i="9"/>
  <c r="X68" i="9"/>
  <c r="W67" i="9"/>
  <c r="Y67" i="9"/>
  <c r="Y61" i="9"/>
  <c r="F67" i="9"/>
  <c r="E61" i="9"/>
  <c r="F61" i="9"/>
  <c r="I67" i="9"/>
  <c r="I65" i="9"/>
  <c r="H65" i="9"/>
  <c r="G65" i="9"/>
  <c r="E65" i="9"/>
  <c r="F65" i="9"/>
  <c r="D65" i="9"/>
  <c r="Q65" i="9"/>
  <c r="V65" i="9"/>
  <c r="W65" i="9"/>
  <c r="Y65" i="9"/>
  <c r="X65" i="9"/>
  <c r="K65" i="9"/>
  <c r="L65" i="9"/>
  <c r="J65" i="9"/>
  <c r="M65" i="9"/>
  <c r="O65" i="9"/>
  <c r="N65" i="9"/>
  <c r="V68" i="9"/>
  <c r="Y68" i="9"/>
  <c r="Q68" i="9"/>
  <c r="H59" i="9"/>
  <c r="G59" i="9"/>
  <c r="F59" i="9"/>
  <c r="E59" i="9"/>
  <c r="D59" i="9"/>
  <c r="I59" i="9"/>
  <c r="Q59" i="9"/>
  <c r="X59" i="9"/>
  <c r="Y59" i="9"/>
  <c r="V59" i="9"/>
  <c r="W59" i="9"/>
  <c r="G68" i="9"/>
  <c r="K63" i="9"/>
  <c r="G61" i="9"/>
  <c r="J62" i="9"/>
  <c r="K62" i="9"/>
  <c r="L62" i="9"/>
  <c r="M62" i="9"/>
  <c r="O62" i="9"/>
  <c r="N62" i="9"/>
  <c r="O63" i="9"/>
  <c r="M63" i="9"/>
  <c r="L61" i="9"/>
  <c r="J61" i="9"/>
  <c r="L63" i="9"/>
  <c r="J64" i="9"/>
  <c r="K64" i="9"/>
  <c r="L64" i="9"/>
  <c r="M64" i="9"/>
  <c r="O64" i="9"/>
  <c r="N64" i="9"/>
  <c r="J60" i="9"/>
  <c r="K60" i="9"/>
  <c r="L60" i="9"/>
  <c r="M60" i="9"/>
  <c r="N60" i="9"/>
  <c r="O60" i="9"/>
  <c r="A91" i="2"/>
  <c r="A92" i="2" s="1"/>
  <c r="N61" i="9"/>
  <c r="K61" i="9"/>
  <c r="J63" i="9"/>
  <c r="K59" i="9"/>
  <c r="J59" i="9"/>
  <c r="L59" i="9"/>
  <c r="M59" i="9"/>
  <c r="O59" i="9"/>
  <c r="N59" i="9"/>
  <c r="O61" i="9"/>
  <c r="A98" i="2"/>
  <c r="A99" i="2" s="1"/>
  <c r="H162" i="11"/>
  <c r="D27" i="10"/>
  <c r="F27" i="10" s="1"/>
  <c r="B157" i="11" l="1"/>
  <c r="B158" i="13"/>
  <c r="B163" i="13"/>
  <c r="D25" i="10"/>
  <c r="F25" i="10" s="1"/>
  <c r="C158" i="11"/>
  <c r="C159" i="13"/>
  <c r="B22" i="10"/>
  <c r="C157" i="11"/>
  <c r="B162" i="11"/>
  <c r="B157" i="13"/>
  <c r="A21" i="10"/>
  <c r="B156" i="11"/>
  <c r="C157" i="13"/>
  <c r="C156" i="11"/>
  <c r="B21" i="10"/>
  <c r="A23" i="10"/>
  <c r="C162" i="13"/>
  <c r="H159" i="11"/>
  <c r="B158" i="11"/>
  <c r="C160" i="11"/>
  <c r="C160" i="13"/>
  <c r="B156" i="13"/>
  <c r="B155" i="11"/>
  <c r="A20" i="10"/>
  <c r="B161" i="11"/>
  <c r="C159" i="11"/>
  <c r="A26" i="10"/>
  <c r="C161" i="11"/>
  <c r="D24" i="10"/>
  <c r="F24" i="10" s="1"/>
  <c r="H161" i="11"/>
  <c r="H160" i="11"/>
  <c r="C161" i="13"/>
  <c r="H162" i="13"/>
  <c r="C156" i="13"/>
  <c r="B20" i="10"/>
  <c r="C155" i="11"/>
  <c r="A25" i="10"/>
  <c r="B161" i="13"/>
  <c r="C162" i="11"/>
  <c r="B27" i="10"/>
  <c r="D129" i="13"/>
  <c r="D128" i="13"/>
  <c r="D137" i="11"/>
  <c r="D139" i="11" s="1"/>
  <c r="D138" i="13"/>
  <c r="D140" i="13" s="1"/>
  <c r="D138" i="11"/>
  <c r="D140" i="11" s="1"/>
  <c r="D139" i="13"/>
  <c r="D141" i="13" s="1"/>
  <c r="D126" i="11"/>
  <c r="D127" i="11"/>
  <c r="A100" i="2"/>
  <c r="C62" i="1" s="1"/>
  <c r="AA67" i="9"/>
  <c r="Z68" i="9"/>
  <c r="A93" i="2"/>
  <c r="A94" i="2" s="1"/>
  <c r="AA68" i="9"/>
  <c r="Z67" i="9"/>
  <c r="Z60" i="9"/>
  <c r="Z61" i="9"/>
  <c r="Z62" i="9"/>
  <c r="Z63" i="9"/>
  <c r="Z59" i="9"/>
  <c r="Z64" i="9"/>
  <c r="AA59" i="9"/>
  <c r="Z65" i="9"/>
  <c r="AA65" i="9"/>
  <c r="AA66" i="9"/>
  <c r="AA60" i="9"/>
  <c r="Z66" i="9"/>
  <c r="AA61" i="9"/>
  <c r="AA63" i="9"/>
  <c r="AA69" i="9"/>
  <c r="AA62" i="9"/>
  <c r="Z69" i="9"/>
  <c r="AA64" i="9"/>
  <c r="R62" i="9" l="1"/>
  <c r="AB62" i="9" s="1"/>
  <c r="S62" i="9"/>
  <c r="R63" i="9"/>
  <c r="AB63" i="9" s="1"/>
  <c r="S63" i="9"/>
  <c r="R66" i="9"/>
  <c r="AB66" i="9" s="1"/>
  <c r="S66" i="9"/>
  <c r="R61" i="9"/>
  <c r="AB61" i="9" s="1"/>
  <c r="S61" i="9"/>
  <c r="R65" i="9"/>
  <c r="AB65" i="9" s="1"/>
  <c r="S65" i="9"/>
  <c r="R64" i="9"/>
  <c r="AB64" i="9" s="1"/>
  <c r="S64" i="9"/>
  <c r="R60" i="9"/>
  <c r="AB60" i="9" s="1"/>
  <c r="S60" i="9"/>
  <c r="R67" i="9"/>
  <c r="AB67" i="9" s="1"/>
  <c r="S67" i="9"/>
  <c r="R68" i="9"/>
  <c r="AB68" i="9" s="1"/>
  <c r="S68" i="9"/>
  <c r="R69" i="9"/>
  <c r="AB69" i="9" s="1"/>
  <c r="S69" i="9"/>
  <c r="R59" i="9"/>
  <c r="AB59" i="9" s="1"/>
  <c r="S59" i="9"/>
  <c r="E136" i="11"/>
  <c r="E124" i="13"/>
  <c r="E137" i="13"/>
  <c r="C65" i="1"/>
  <c r="C63" i="1"/>
  <c r="C64" i="1"/>
  <c r="E122" i="11"/>
  <c r="C66" i="1"/>
  <c r="E138" i="11" l="1"/>
  <c r="E140" i="11" s="1"/>
  <c r="E137" i="11"/>
  <c r="E139" i="13"/>
  <c r="E141" i="13" s="1"/>
  <c r="E138" i="13"/>
  <c r="E140" i="13" s="1"/>
  <c r="G122" i="11"/>
  <c r="G124" i="13"/>
  <c r="G137" i="13"/>
  <c r="I137" i="13"/>
  <c r="I124" i="13"/>
  <c r="F122" i="11"/>
  <c r="F124" i="13"/>
  <c r="F137" i="13"/>
  <c r="E128" i="13"/>
  <c r="E129" i="13"/>
  <c r="H122" i="11"/>
  <c r="H124" i="13"/>
  <c r="H137" i="13"/>
  <c r="I136" i="11"/>
  <c r="G136" i="11"/>
  <c r="F136" i="11"/>
  <c r="H136" i="11"/>
  <c r="E126" i="11"/>
  <c r="E127" i="11"/>
  <c r="I122" i="11"/>
  <c r="I138" i="11" l="1"/>
  <c r="I140" i="11" s="1"/>
  <c r="I137" i="11"/>
  <c r="I139" i="11" s="1"/>
  <c r="F138" i="13"/>
  <c r="F140" i="13" s="1"/>
  <c r="F139" i="13"/>
  <c r="F141" i="13" s="1"/>
  <c r="G139" i="13"/>
  <c r="G141" i="13" s="1"/>
  <c r="G138" i="13"/>
  <c r="G140" i="13" s="1"/>
  <c r="H138" i="13"/>
  <c r="H140" i="13" s="1"/>
  <c r="H139" i="13"/>
  <c r="H141" i="13" s="1"/>
  <c r="H127" i="11"/>
  <c r="H138" i="11"/>
  <c r="H140" i="11" s="1"/>
  <c r="H137" i="11"/>
  <c r="H139" i="11" s="1"/>
  <c r="F138" i="11"/>
  <c r="F140" i="11" s="1"/>
  <c r="F137" i="11"/>
  <c r="F139" i="11" s="1"/>
  <c r="I139" i="13"/>
  <c r="I141" i="13" s="1"/>
  <c r="I138" i="13"/>
  <c r="I140" i="13" s="1"/>
  <c r="G138" i="11"/>
  <c r="G140" i="11" s="1"/>
  <c r="G137" i="11"/>
  <c r="G139" i="11" s="1"/>
  <c r="G127" i="11"/>
  <c r="G126" i="11"/>
  <c r="F127" i="11"/>
  <c r="F126" i="11"/>
  <c r="H129" i="13"/>
  <c r="H128" i="13"/>
  <c r="H126" i="11"/>
  <c r="F129" i="13"/>
  <c r="F128" i="13"/>
  <c r="I128" i="13"/>
  <c r="I129" i="13"/>
  <c r="G129" i="13"/>
  <c r="G128" i="13"/>
  <c r="E139" i="11"/>
  <c r="I126" i="11"/>
  <c r="I127" i="11"/>
  <c r="E146" i="13" l="1" a="1"/>
  <c r="E146" i="13" s="1"/>
  <c r="E145" i="11" a="1"/>
  <c r="E145" i="11" s="1"/>
  <c r="P55" i="9" l="1"/>
  <c r="P70" i="9" s="1"/>
  <c r="P58" i="9"/>
  <c r="G64" i="1" s="1"/>
  <c r="F71" i="1" l="1"/>
  <c r="G62" i="1"/>
  <c r="F64" i="1"/>
  <c r="D66" i="1"/>
  <c r="I66" i="1" s="1"/>
  <c r="G75" i="1"/>
  <c r="F70" i="1"/>
  <c r="G61" i="1"/>
  <c r="P59" i="9"/>
  <c r="AC59" i="9" s="1"/>
  <c r="D64" i="1"/>
  <c r="G123" i="11" s="1"/>
  <c r="P68" i="9"/>
  <c r="AC68" i="9" s="1"/>
  <c r="D73" i="1" s="1"/>
  <c r="E73" i="1" s="1"/>
  <c r="D63" i="1"/>
  <c r="P69" i="9"/>
  <c r="AC69" i="9" s="1"/>
  <c r="D74" i="1" s="1"/>
  <c r="E74" i="1" s="1"/>
  <c r="G74" i="1"/>
  <c r="G73" i="1"/>
  <c r="P66" i="9"/>
  <c r="AC66" i="9" s="1"/>
  <c r="D71" i="1" s="1"/>
  <c r="E71" i="1" s="1"/>
  <c r="F61" i="1"/>
  <c r="P61" i="9"/>
  <c r="AC61" i="9" s="1"/>
  <c r="P67" i="9"/>
  <c r="AC67" i="9" s="1"/>
  <c r="D72" i="1" s="1"/>
  <c r="E72" i="1" s="1"/>
  <c r="D75" i="1"/>
  <c r="E75" i="1" s="1"/>
  <c r="G66" i="1"/>
  <c r="I125" i="11" s="1"/>
  <c r="I131" i="11" s="1"/>
  <c r="G127" i="13"/>
  <c r="G132" i="13" s="1"/>
  <c r="G125" i="11"/>
  <c r="G131" i="11" s="1"/>
  <c r="G65" i="1"/>
  <c r="P60" i="9"/>
  <c r="AC60" i="9" s="1"/>
  <c r="G70" i="1"/>
  <c r="F66" i="1"/>
  <c r="F65" i="1"/>
  <c r="G72" i="1"/>
  <c r="F75" i="1"/>
  <c r="G71" i="1"/>
  <c r="F63" i="1"/>
  <c r="G63" i="1"/>
  <c r="P63" i="9"/>
  <c r="AC63" i="9" s="1"/>
  <c r="P64" i="9"/>
  <c r="AC64" i="9" s="1"/>
  <c r="F73" i="1"/>
  <c r="F74" i="1"/>
  <c r="F62" i="1"/>
  <c r="P62" i="9"/>
  <c r="AC62" i="9" s="1"/>
  <c r="P65" i="9"/>
  <c r="AC65" i="9" s="1"/>
  <c r="D61" i="1" s="1"/>
  <c r="D123" i="11" s="1"/>
  <c r="D129" i="11" s="1"/>
  <c r="D65" i="1"/>
  <c r="F72" i="1"/>
  <c r="D70" i="1" l="1"/>
  <c r="E70" i="1" s="1"/>
  <c r="D62" i="1"/>
  <c r="E123" i="11" s="1"/>
  <c r="E128" i="11" s="1"/>
  <c r="E66" i="1"/>
  <c r="I61" i="1"/>
  <c r="D125" i="13"/>
  <c r="E61" i="1"/>
  <c r="I64" i="1"/>
  <c r="D128" i="11"/>
  <c r="F123" i="11"/>
  <c r="F125" i="13"/>
  <c r="F130" i="13" s="1"/>
  <c r="I63" i="1"/>
  <c r="E63" i="1"/>
  <c r="E129" i="11"/>
  <c r="E64" i="1"/>
  <c r="G125" i="13"/>
  <c r="G130" i="13" s="1"/>
  <c r="D126" i="13"/>
  <c r="D131" i="13" s="1"/>
  <c r="D124" i="11"/>
  <c r="D130" i="11" s="1"/>
  <c r="D127" i="13"/>
  <c r="D132" i="13" s="1"/>
  <c r="D125" i="11"/>
  <c r="D131" i="11" s="1"/>
  <c r="I127" i="13"/>
  <c r="I132" i="13" s="1"/>
  <c r="E125" i="13"/>
  <c r="E130" i="13" s="1"/>
  <c r="E62" i="1"/>
  <c r="I62" i="1"/>
  <c r="C37" i="2" s="1"/>
  <c r="I125" i="13"/>
  <c r="I130" i="13" s="1"/>
  <c r="I123" i="11"/>
  <c r="G126" i="13"/>
  <c r="G131" i="13" s="1"/>
  <c r="G124" i="11"/>
  <c r="G130" i="11" s="1"/>
  <c r="E127" i="13"/>
  <c r="E132" i="13" s="1"/>
  <c r="E125" i="11"/>
  <c r="E131" i="11" s="1"/>
  <c r="H126" i="13"/>
  <c r="H131" i="13" s="1"/>
  <c r="H124" i="11"/>
  <c r="H130" i="11" s="1"/>
  <c r="I65" i="1"/>
  <c r="H123" i="11"/>
  <c r="E65" i="1"/>
  <c r="H125" i="13"/>
  <c r="H130" i="13" s="1"/>
  <c r="I126" i="13"/>
  <c r="I131" i="13" s="1"/>
  <c r="I124" i="11"/>
  <c r="I130" i="11" s="1"/>
  <c r="D130" i="13"/>
  <c r="H125" i="11"/>
  <c r="H131" i="11" s="1"/>
  <c r="H127" i="13"/>
  <c r="H132" i="13" s="1"/>
  <c r="E124" i="11"/>
  <c r="E130" i="11" s="1"/>
  <c r="E126" i="13"/>
  <c r="E131" i="13" s="1"/>
  <c r="F127" i="13"/>
  <c r="F132" i="13" s="1"/>
  <c r="F125" i="11"/>
  <c r="F131" i="11" s="1"/>
  <c r="F126" i="13"/>
  <c r="F131" i="13" s="1"/>
  <c r="F124" i="11"/>
  <c r="F130" i="11" s="1"/>
  <c r="G128" i="11"/>
  <c r="G129" i="11"/>
  <c r="C39" i="2" l="1"/>
  <c r="G63" i="2" s="1" a="1"/>
  <c r="G63" i="2" s="1"/>
  <c r="I129" i="11"/>
  <c r="I128" i="11"/>
  <c r="E134" i="13"/>
  <c r="F128" i="11"/>
  <c r="F129" i="11"/>
  <c r="H129" i="11"/>
  <c r="H128" i="11"/>
  <c r="E133" i="11"/>
  <c r="I76" i="2"/>
  <c r="F76" i="2"/>
  <c r="H60" i="2"/>
  <c r="E62" i="2"/>
  <c r="G76" i="2"/>
  <c r="E77" i="2"/>
  <c r="I60" i="2"/>
  <c r="I77" i="2"/>
  <c r="G77" i="2"/>
  <c r="H76" i="2"/>
  <c r="D60" i="2"/>
  <c r="E76" i="2"/>
  <c r="G62" i="2"/>
  <c r="F72" i="2"/>
  <c r="C72" i="2" s="1"/>
  <c r="E60" i="2"/>
  <c r="H77" i="2"/>
  <c r="F77" i="2"/>
  <c r="D77" i="2"/>
  <c r="G60" i="2"/>
  <c r="F74" i="2"/>
  <c r="C74" i="2" s="1"/>
  <c r="D76" i="2"/>
  <c r="D62" i="2"/>
  <c r="F59" i="2" l="1"/>
  <c r="F60" i="2" s="1"/>
  <c r="C60" i="2" s="1"/>
  <c r="E63" i="2" a="1"/>
  <c r="E63" i="2" s="1"/>
  <c r="E64" i="2" s="1"/>
  <c r="D63" i="2"/>
  <c r="D64" i="2" s="1"/>
  <c r="F63" i="2" a="1"/>
  <c r="F63" i="2" s="1"/>
  <c r="C77" i="2"/>
  <c r="J20" i="4" s="1"/>
  <c r="C76" i="2"/>
  <c r="J21" i="4" s="1"/>
  <c r="C59" i="2"/>
  <c r="J16" i="4" s="1"/>
  <c r="G64" i="2"/>
  <c r="C64" i="2" s="1"/>
  <c r="C63" i="2"/>
  <c r="J23" i="4" l="1"/>
  <c r="J19" i="4"/>
  <c r="J22" i="4"/>
  <c r="J24" i="4"/>
  <c r="F62" i="2"/>
  <c r="C62" i="2" s="1"/>
  <c r="J14" i="4" s="1"/>
  <c r="F75" i="2"/>
  <c r="C75" i="2" s="1"/>
  <c r="J18" i="4" s="1"/>
  <c r="F64" i="2"/>
  <c r="J5" i="4"/>
  <c r="J10" i="4"/>
  <c r="J3" i="4"/>
  <c r="J9" i="4"/>
  <c r="J7" i="4"/>
  <c r="J11" i="4"/>
  <c r="J8" i="4"/>
  <c r="G48" i="1"/>
  <c r="J13" i="4"/>
  <c r="J12" i="4" s="1"/>
  <c r="J4" i="4"/>
  <c r="J17" i="4"/>
  <c r="J32" i="4"/>
  <c r="J29" i="4"/>
  <c r="J25" i="4"/>
  <c r="J33" i="4"/>
  <c r="J34" i="4"/>
  <c r="J27" i="4"/>
  <c r="J26" i="4"/>
  <c r="G50" i="1" s="1"/>
  <c r="H155" i="11" s="1"/>
  <c r="J30" i="4"/>
  <c r="J28" i="4"/>
  <c r="J35" i="4"/>
  <c r="J31" i="4"/>
  <c r="G49" i="1" l="1"/>
  <c r="J15" i="4"/>
  <c r="G47" i="1" s="1"/>
  <c r="D17" i="10" s="1"/>
  <c r="F17" i="10" s="1"/>
  <c r="H156" i="13"/>
  <c r="D20" i="10"/>
  <c r="F20" i="10" s="1"/>
  <c r="G51" i="1"/>
  <c r="D21" i="10" s="1"/>
  <c r="F21" i="10" s="1"/>
  <c r="G52" i="1"/>
  <c r="D22" i="10" s="1"/>
  <c r="F22" i="10" s="1"/>
  <c r="G53" i="1"/>
  <c r="G46" i="1"/>
  <c r="H153" i="11"/>
  <c r="H154" i="13"/>
  <c r="D18" i="10"/>
  <c r="F18" i="10" s="1"/>
  <c r="H155" i="13" l="1"/>
  <c r="H154" i="11"/>
  <c r="D19" i="10"/>
  <c r="F19" i="10" s="1"/>
  <c r="H156" i="11"/>
  <c r="H157" i="13"/>
  <c r="H153" i="13"/>
  <c r="H152" i="11"/>
  <c r="H157" i="11"/>
  <c r="H158" i="13"/>
  <c r="H152" i="13"/>
  <c r="D16" i="10"/>
  <c r="F16" i="10" s="1"/>
  <c r="H151" i="11"/>
  <c r="H159" i="13"/>
  <c r="D23" i="10"/>
  <c r="F23" i="10" s="1"/>
  <c r="H158" i="11"/>
  <c r="F29" i="10" l="1"/>
  <c r="F30" i="10" s="1"/>
  <c r="F31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Florent PRUDHOMME</author>
  </authors>
  <commentList>
    <comment ref="I5" authorId="0" shapeId="0" xr:uid="{91EDFC5A-51C3-40AF-AF11-E5305FE838EE}">
      <text>
        <r>
          <rPr>
            <b/>
            <sz val="9"/>
            <color indexed="81"/>
            <rFont val="Tahoma"/>
            <family val="2"/>
          </rPr>
          <t>Florent PRUDHOMME:</t>
        </r>
        <r>
          <rPr>
            <sz val="9"/>
            <color indexed="81"/>
            <rFont val="Tahoma"/>
            <family val="2"/>
          </rPr>
          <t xml:space="preserve">
Limite rupture</t>
        </r>
      </text>
    </comment>
    <comment ref="J5" authorId="0" shapeId="0" xr:uid="{4D5C7127-5ED7-4C31-B503-19F058BC0F0D}">
      <text>
        <r>
          <rPr>
            <b/>
            <sz val="9"/>
            <color indexed="81"/>
            <rFont val="Tahoma"/>
            <family val="2"/>
          </rPr>
          <t>Florent PRUDHOMME:</t>
        </r>
        <r>
          <rPr>
            <sz val="9"/>
            <color indexed="81"/>
            <rFont val="Tahoma"/>
            <family val="2"/>
          </rPr>
          <t xml:space="preserve">
Limite élastique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</futureMetadata>
  <cellMetadata count="1">
    <bk>
      <rc t="1" v="0"/>
    </bk>
  </cellMetadata>
  <valueMetadata count="12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</valueMetadata>
</metadata>
</file>

<file path=xl/sharedStrings.xml><?xml version="1.0" encoding="utf-8"?>
<sst xmlns="http://schemas.openxmlformats.org/spreadsheetml/2006/main" count="1033" uniqueCount="552">
  <si>
    <t>Système</t>
  </si>
  <si>
    <t>Module</t>
  </si>
  <si>
    <t>Hauteur bat :</t>
  </si>
  <si>
    <t>Longueur toit :</t>
  </si>
  <si>
    <t>Couverture :</t>
  </si>
  <si>
    <t>Puissance :</t>
  </si>
  <si>
    <t>Calepinage</t>
  </si>
  <si>
    <t>Ligne</t>
  </si>
  <si>
    <t>Colonne</t>
  </si>
  <si>
    <t>Ardoise</t>
  </si>
  <si>
    <t xml:space="preserve">Description </t>
  </si>
  <si>
    <t>Articles</t>
  </si>
  <si>
    <t>n° Article</t>
  </si>
  <si>
    <t>Prix Public</t>
  </si>
  <si>
    <t>Tuile plate</t>
  </si>
  <si>
    <t>Taille du champs</t>
  </si>
  <si>
    <t>Hauteur :</t>
  </si>
  <si>
    <t>Largeur :</t>
  </si>
  <si>
    <t>Crochets compatibles</t>
  </si>
  <si>
    <t>x</t>
  </si>
  <si>
    <t>Fibrociment</t>
  </si>
  <si>
    <t>Domaine d'emploi</t>
  </si>
  <si>
    <t>Pente min</t>
  </si>
  <si>
    <t>Pente max</t>
  </si>
  <si>
    <t>Rampant max</t>
  </si>
  <si>
    <t>Zone 1</t>
  </si>
  <si>
    <t>Zone 2</t>
  </si>
  <si>
    <t>Zone 3</t>
  </si>
  <si>
    <t>max : 25 m</t>
  </si>
  <si>
    <t>Epaisseur :</t>
  </si>
  <si>
    <t>Couleurs</t>
  </si>
  <si>
    <t>Alu</t>
  </si>
  <si>
    <t>Rails</t>
  </si>
  <si>
    <t>Mode pose</t>
  </si>
  <si>
    <t>Portrait - Rail horizontal</t>
  </si>
  <si>
    <t>Paysage - Rail horizontal</t>
  </si>
  <si>
    <t>Paysage - Rail Croisé</t>
  </si>
  <si>
    <t>Paysage - Rail vertical</t>
  </si>
  <si>
    <t>Messages d'erreur</t>
  </si>
  <si>
    <t>Hauteur champs</t>
  </si>
  <si>
    <t>Hors zone autorisée</t>
  </si>
  <si>
    <t xml:space="preserve">Calculs </t>
  </si>
  <si>
    <t>Hauteur champs PV</t>
  </si>
  <si>
    <t>Largeur champs</t>
  </si>
  <si>
    <t>Options</t>
  </si>
  <si>
    <t>Crochets</t>
  </si>
  <si>
    <t>Largeur  champs PV</t>
  </si>
  <si>
    <t>Type de charpente :</t>
  </si>
  <si>
    <t>Entraxe panne</t>
  </si>
  <si>
    <t>longueur dernier rail</t>
  </si>
  <si>
    <t>longueur a-dernier rail</t>
  </si>
  <si>
    <t>Quantité</t>
  </si>
  <si>
    <t>longueur utile</t>
  </si>
  <si>
    <t>Conditions</t>
  </si>
  <si>
    <t>Espacement faitage</t>
  </si>
  <si>
    <t>Espacement rives</t>
  </si>
  <si>
    <t>Port-à-faux rail max</t>
  </si>
  <si>
    <t>débord rail/crochet</t>
  </si>
  <si>
    <t>Correction</t>
  </si>
  <si>
    <t>interligne</t>
  </si>
  <si>
    <t>largeur bride inter</t>
  </si>
  <si>
    <t>entraxe chevron / débord de rail</t>
  </si>
  <si>
    <t>Inter-rail</t>
  </si>
  <si>
    <t>Débord de rail/module</t>
  </si>
  <si>
    <t>Bridage panneaux</t>
  </si>
  <si>
    <t>Description</t>
  </si>
  <si>
    <t>n° article</t>
  </si>
  <si>
    <t>Débord rail/bride</t>
  </si>
  <si>
    <t>Rail</t>
  </si>
  <si>
    <t>porte à faux rail th</t>
  </si>
  <si>
    <t>Connecteur rail croisé</t>
  </si>
  <si>
    <t>Bâtiment</t>
  </si>
  <si>
    <t>CONFIGURATEUR</t>
  </si>
  <si>
    <t>Prix remisé</t>
  </si>
  <si>
    <t>Multiplicateur rail</t>
  </si>
  <si>
    <t>Rail croisé / u</t>
  </si>
  <si>
    <t>Multipl rail croisé</t>
  </si>
  <si>
    <t>Raccord de rail</t>
  </si>
  <si>
    <t>Raccord rail c. / u</t>
  </si>
  <si>
    <t>Raccord rail croisé</t>
  </si>
  <si>
    <t>Reste rail croisé</t>
  </si>
  <si>
    <t>longueur dernier rail c</t>
  </si>
  <si>
    <t>longueur a-dernier rail c</t>
  </si>
  <si>
    <t>Raccord de rail /u</t>
  </si>
  <si>
    <t>Largeur utile champs</t>
  </si>
  <si>
    <t>Crochets /u</t>
  </si>
  <si>
    <t>380015 V3</t>
  </si>
  <si>
    <t>380063 V3</t>
  </si>
  <si>
    <t>Black</t>
  </si>
  <si>
    <t>Condition 1</t>
  </si>
  <si>
    <t>Cumul conditions</t>
  </si>
  <si>
    <t>Condition 2</t>
  </si>
  <si>
    <t>raccord</t>
  </si>
  <si>
    <t>Condition 3</t>
  </si>
  <si>
    <t>Fixations Alu Inter V3 - IZIPV</t>
  </si>
  <si>
    <t>Bride</t>
  </si>
  <si>
    <t>Crochet</t>
  </si>
  <si>
    <t>380062 V3</t>
  </si>
  <si>
    <t>380061 V3</t>
  </si>
  <si>
    <t>Choix couv</t>
  </si>
  <si>
    <t>Rails &amp; co</t>
  </si>
  <si>
    <t>Brides</t>
  </si>
  <si>
    <t>Accessoires</t>
  </si>
  <si>
    <t>Bouchon</t>
  </si>
  <si>
    <t xml:space="preserve"> </t>
  </si>
  <si>
    <t>Nb bride exter</t>
  </si>
  <si>
    <t>Nb bride inter</t>
  </si>
  <si>
    <t>Client :</t>
  </si>
  <si>
    <t>Adresse :</t>
  </si>
  <si>
    <t>Qté</t>
  </si>
  <si>
    <t>Total (H.T.)=</t>
  </si>
  <si>
    <t>T.V.A. (20%)=</t>
  </si>
  <si>
    <t>Total (T.T.C)=</t>
  </si>
  <si>
    <t>Livraison :</t>
  </si>
  <si>
    <t xml:space="preserve">Remise Client : </t>
  </si>
  <si>
    <t>Module :</t>
  </si>
  <si>
    <t>Calepinage :</t>
  </si>
  <si>
    <t>Installation :</t>
  </si>
  <si>
    <t>380073 V3</t>
  </si>
  <si>
    <t>Etapes de calcul</t>
  </si>
  <si>
    <t>Dimensions modules, lignes, colonnes</t>
  </si>
  <si>
    <t>Dimensions batiment, entraxe, pente</t>
  </si>
  <si>
    <t>Calcul taille du champs PV</t>
  </si>
  <si>
    <t>Fin</t>
  </si>
  <si>
    <t>Edition Liste matériel</t>
  </si>
  <si>
    <t>Calcul nombre de rails</t>
  </si>
  <si>
    <t>Calcul de découpe derniers rails</t>
  </si>
  <si>
    <t>Calcul raccord de rail</t>
  </si>
  <si>
    <t>Calcul du nombre de crochets</t>
  </si>
  <si>
    <t>Sch=0,4m ; K2= ? ; Ren = 0,2m</t>
  </si>
  <si>
    <t>Entraxe Crochet Max</t>
  </si>
  <si>
    <t>Fixation micro-onduleur</t>
  </si>
  <si>
    <t>Mode :</t>
  </si>
  <si>
    <t>Ligne :</t>
  </si>
  <si>
    <t>Colonne :</t>
  </si>
  <si>
    <t>Micro-onduleur :</t>
  </si>
  <si>
    <t>380016 V3</t>
  </si>
  <si>
    <t>Micro onduleur</t>
  </si>
  <si>
    <t>Fixations par côté :</t>
  </si>
  <si>
    <t>Long. Rail :</t>
  </si>
  <si>
    <t>Pente :</t>
  </si>
  <si>
    <t>Duo</t>
  </si>
  <si>
    <t>Mono</t>
  </si>
  <si>
    <t>Pas de micro</t>
  </si>
  <si>
    <t>380071_V3</t>
  </si>
  <si>
    <t>380022_V3</t>
  </si>
  <si>
    <t>380064_V3</t>
  </si>
  <si>
    <t>380021_V3</t>
  </si>
  <si>
    <t>380068 V3</t>
  </si>
  <si>
    <t>380067 V3</t>
  </si>
  <si>
    <t>Localisation</t>
  </si>
  <si>
    <t>Zone de vent :</t>
  </si>
  <si>
    <t>Zone de neige :</t>
  </si>
  <si>
    <t>Données climatiques</t>
  </si>
  <si>
    <t>Zone de toit</t>
  </si>
  <si>
    <t>Centre</t>
  </si>
  <si>
    <t>Rive</t>
  </si>
  <si>
    <t>Angle</t>
  </si>
  <si>
    <t>Site</t>
  </si>
  <si>
    <t>Valeurs Limites</t>
  </si>
  <si>
    <t>vent</t>
  </si>
  <si>
    <t>Neige</t>
  </si>
  <si>
    <t>Altitude :</t>
  </si>
  <si>
    <t>Portrait</t>
  </si>
  <si>
    <t>Monopan</t>
  </si>
  <si>
    <t>Paysage</t>
  </si>
  <si>
    <t>Bipan</t>
  </si>
  <si>
    <t>Lenght</t>
  </si>
  <si>
    <t>m</t>
  </si>
  <si>
    <t>Height</t>
  </si>
  <si>
    <t xml:space="preserve">Width </t>
  </si>
  <si>
    <t>Roof type :</t>
  </si>
  <si>
    <t>France (NF EN 1991-1-4/NA : 2008)</t>
  </si>
  <si>
    <t>DOM (NF EN 1991-1-4/NA : 2008)</t>
  </si>
  <si>
    <t>Roof pitch :</t>
  </si>
  <si>
    <t>°</t>
  </si>
  <si>
    <t>Wind Zone</t>
  </si>
  <si>
    <t>Guadeloupe</t>
  </si>
  <si>
    <t>Guyane</t>
  </si>
  <si>
    <t>Martinique</t>
  </si>
  <si>
    <t>Réunion</t>
  </si>
  <si>
    <t>Roof zone :</t>
  </si>
  <si>
    <r>
      <t>V</t>
    </r>
    <r>
      <rPr>
        <vertAlign val="subscript"/>
        <sz val="11"/>
        <color theme="1"/>
        <rFont val="Calibri"/>
        <family val="2"/>
        <scheme val="minor"/>
      </rPr>
      <t xml:space="preserve">b,0 </t>
    </r>
    <r>
      <rPr>
        <sz val="11"/>
        <color theme="1"/>
        <rFont val="Calibri"/>
        <family val="2"/>
        <scheme val="minor"/>
      </rPr>
      <t>(m/s)</t>
    </r>
  </si>
  <si>
    <t>Module Area :</t>
  </si>
  <si>
    <t>m²</t>
  </si>
  <si>
    <t>Aire d'une voiture:</t>
  </si>
  <si>
    <t>Formulaire:</t>
  </si>
  <si>
    <t>Monopitch Roof</t>
  </si>
  <si>
    <t>Duopitch Roof</t>
  </si>
  <si>
    <r>
      <t>External pressure coefficients for monopitch roofs (C</t>
    </r>
    <r>
      <rPr>
        <vertAlign val="subscript"/>
        <sz val="12"/>
        <color theme="1"/>
        <rFont val="Calibri"/>
        <family val="2"/>
        <scheme val="minor"/>
      </rPr>
      <t>pe,IO</t>
    </r>
    <r>
      <rPr>
        <sz val="12"/>
        <color theme="1"/>
        <rFont val="Calibri"/>
        <family val="2"/>
        <scheme val="minor"/>
      </rPr>
      <t xml:space="preserve"> and C</t>
    </r>
    <r>
      <rPr>
        <vertAlign val="subscript"/>
        <sz val="12"/>
        <color theme="1"/>
        <rFont val="Calibri"/>
        <family val="2"/>
        <scheme val="minor"/>
      </rPr>
      <t>pe,l</t>
    </r>
    <r>
      <rPr>
        <sz val="12"/>
        <color theme="1"/>
        <rFont val="Calibri"/>
        <family val="2"/>
        <scheme val="minor"/>
      </rPr>
      <t>)</t>
    </r>
  </si>
  <si>
    <r>
      <t>External pressure coefficients for duopitch roofs (C</t>
    </r>
    <r>
      <rPr>
        <vertAlign val="subscript"/>
        <sz val="12"/>
        <color theme="1"/>
        <rFont val="Calibri"/>
        <family val="2"/>
        <scheme val="minor"/>
      </rPr>
      <t>pe,IO</t>
    </r>
    <r>
      <rPr>
        <sz val="12"/>
        <color theme="1"/>
        <rFont val="Calibri"/>
        <family val="2"/>
        <scheme val="minor"/>
      </rPr>
      <t xml:space="preserve"> and C</t>
    </r>
    <r>
      <rPr>
        <vertAlign val="subscript"/>
        <sz val="12"/>
        <color theme="1"/>
        <rFont val="Calibri"/>
        <family val="2"/>
        <scheme val="minor"/>
      </rPr>
      <t>pe,l</t>
    </r>
    <r>
      <rPr>
        <sz val="12"/>
        <color theme="1"/>
        <rFont val="Calibri"/>
        <family val="2"/>
        <scheme val="minor"/>
      </rPr>
      <t>)</t>
    </r>
  </si>
  <si>
    <r>
      <t xml:space="preserve">Pitch angle </t>
    </r>
    <r>
      <rPr>
        <sz val="12"/>
        <color theme="1"/>
        <rFont val="Calibri"/>
        <family val="2"/>
      </rPr>
      <t>α</t>
    </r>
  </si>
  <si>
    <r>
      <t>External pressure coefficients for Duopitch roofs (C</t>
    </r>
    <r>
      <rPr>
        <vertAlign val="subscript"/>
        <sz val="12"/>
        <color theme="1"/>
        <rFont val="Calibri"/>
        <family val="2"/>
        <scheme val="minor"/>
      </rPr>
      <t>pe,IO</t>
    </r>
    <r>
      <rPr>
        <sz val="12"/>
        <color theme="1"/>
        <rFont val="Calibri"/>
        <family val="2"/>
        <scheme val="minor"/>
      </rPr>
      <t xml:space="preserve"> and C</t>
    </r>
    <r>
      <rPr>
        <vertAlign val="subscript"/>
        <sz val="12"/>
        <color theme="1"/>
        <rFont val="Calibri"/>
        <family val="2"/>
        <scheme val="minor"/>
      </rPr>
      <t>pe,l</t>
    </r>
    <r>
      <rPr>
        <sz val="12"/>
        <color theme="1"/>
        <rFont val="Calibri"/>
        <family val="2"/>
        <scheme val="minor"/>
      </rPr>
      <t>)</t>
    </r>
  </si>
  <si>
    <r>
      <t xml:space="preserve">Zones for wind direction </t>
    </r>
    <r>
      <rPr>
        <sz val="12"/>
        <color theme="1"/>
        <rFont val="Times New Roman"/>
        <family val="1"/>
      </rPr>
      <t>θ</t>
    </r>
    <r>
      <rPr>
        <sz val="12"/>
        <color theme="1"/>
        <rFont val="Calibri"/>
        <family val="2"/>
      </rPr>
      <t>=0°</t>
    </r>
  </si>
  <si>
    <r>
      <t xml:space="preserve">Zones for wind direction </t>
    </r>
    <r>
      <rPr>
        <sz val="12"/>
        <color theme="1"/>
        <rFont val="Times New Roman"/>
        <family val="1"/>
      </rPr>
      <t>θ</t>
    </r>
    <r>
      <rPr>
        <sz val="12"/>
        <color theme="1"/>
        <rFont val="Calibri"/>
        <family val="2"/>
      </rPr>
      <t>=180°</t>
    </r>
  </si>
  <si>
    <t>F</t>
  </si>
  <si>
    <t>G</t>
  </si>
  <si>
    <t>H</t>
  </si>
  <si>
    <t>I</t>
  </si>
  <si>
    <t>J</t>
  </si>
  <si>
    <r>
      <t>c</t>
    </r>
    <r>
      <rPr>
        <b/>
        <i/>
        <vertAlign val="subscript"/>
        <sz val="12"/>
        <color theme="1"/>
        <rFont val="Calibri"/>
        <family val="2"/>
        <scheme val="minor"/>
      </rPr>
      <t>pe,10</t>
    </r>
  </si>
  <si>
    <r>
      <t>c</t>
    </r>
    <r>
      <rPr>
        <b/>
        <i/>
        <vertAlign val="subscript"/>
        <sz val="12"/>
        <color theme="1"/>
        <rFont val="Calibri"/>
        <family val="2"/>
        <scheme val="minor"/>
      </rPr>
      <t>pe,1</t>
    </r>
  </si>
  <si>
    <t>neg</t>
  </si>
  <si>
    <t>pos</t>
  </si>
  <si>
    <r>
      <t xml:space="preserve">Zones for wind direction </t>
    </r>
    <r>
      <rPr>
        <sz val="12"/>
        <color theme="1"/>
        <rFont val="Times New Roman"/>
        <family val="1"/>
      </rPr>
      <t>θ</t>
    </r>
    <r>
      <rPr>
        <sz val="12"/>
        <color theme="1"/>
        <rFont val="Calibri"/>
        <family val="2"/>
      </rPr>
      <t>=90°</t>
    </r>
  </si>
  <si>
    <t>Fup</t>
  </si>
  <si>
    <t>Flow</t>
  </si>
  <si>
    <t>Catégorie de terrain</t>
  </si>
  <si>
    <t>II</t>
  </si>
  <si>
    <t>IIIa</t>
  </si>
  <si>
    <t>IIIb</t>
  </si>
  <si>
    <t>IV</t>
  </si>
  <si>
    <t>Z0</t>
  </si>
  <si>
    <t>Zmin</t>
  </si>
  <si>
    <t>Roughness factor :</t>
  </si>
  <si>
    <r>
      <rPr>
        <b/>
        <sz val="12"/>
        <color theme="1"/>
        <rFont val="Calibri"/>
        <family val="2"/>
        <scheme val="minor"/>
      </rPr>
      <t>c</t>
    </r>
    <r>
      <rPr>
        <b/>
        <vertAlign val="subscript"/>
        <sz val="12"/>
        <color theme="1"/>
        <rFont val="Calibri"/>
        <family val="2"/>
        <scheme val="minor"/>
      </rPr>
      <t>r</t>
    </r>
    <r>
      <rPr>
        <b/>
        <sz val="12"/>
        <color theme="1"/>
        <rFont val="Calibri"/>
        <family val="2"/>
        <scheme val="minor"/>
      </rPr>
      <t>(z)</t>
    </r>
  </si>
  <si>
    <t>Terrain category :</t>
  </si>
  <si>
    <r>
      <t>k</t>
    </r>
    <r>
      <rPr>
        <vertAlign val="subscript"/>
        <sz val="14"/>
        <color theme="1"/>
        <rFont val="Calibri"/>
        <family val="2"/>
        <scheme val="minor"/>
      </rPr>
      <t>I</t>
    </r>
    <r>
      <rPr>
        <sz val="14"/>
        <color theme="1"/>
        <rFont val="Calibri"/>
        <family val="2"/>
        <scheme val="minor"/>
      </rPr>
      <t>=</t>
    </r>
  </si>
  <si>
    <t>z =</t>
  </si>
  <si>
    <r>
      <t>z</t>
    </r>
    <r>
      <rPr>
        <vertAlign val="subscript"/>
        <sz val="14"/>
        <color theme="1"/>
        <rFont val="Calibri"/>
        <family val="2"/>
        <scheme val="minor"/>
      </rPr>
      <t>0</t>
    </r>
    <r>
      <rPr>
        <sz val="14"/>
        <color theme="1"/>
        <rFont val="Calibri"/>
        <family val="2"/>
        <scheme val="minor"/>
      </rPr>
      <t>=</t>
    </r>
  </si>
  <si>
    <r>
      <t>z</t>
    </r>
    <r>
      <rPr>
        <vertAlign val="subscript"/>
        <sz val="14"/>
        <color theme="1"/>
        <rFont val="Calibri"/>
        <family val="2"/>
        <scheme val="minor"/>
      </rPr>
      <t>min</t>
    </r>
    <r>
      <rPr>
        <sz val="14"/>
        <color theme="1"/>
        <rFont val="Calibri"/>
        <family val="2"/>
        <scheme val="minor"/>
      </rPr>
      <t>=</t>
    </r>
  </si>
  <si>
    <r>
      <t>k</t>
    </r>
    <r>
      <rPr>
        <vertAlign val="subscript"/>
        <sz val="14"/>
        <color theme="1"/>
        <rFont val="Calibri"/>
        <family val="2"/>
        <scheme val="minor"/>
      </rPr>
      <t>r</t>
    </r>
    <r>
      <rPr>
        <sz val="14"/>
        <color theme="1"/>
        <rFont val="Calibri"/>
        <family val="2"/>
        <scheme val="minor"/>
      </rPr>
      <t>=</t>
    </r>
  </si>
  <si>
    <t>Angle Sup</t>
  </si>
  <si>
    <t>Faitage</t>
  </si>
  <si>
    <t>Egout</t>
  </si>
  <si>
    <t>Catégorie de terrain :</t>
  </si>
  <si>
    <t xml:space="preserve">zone vent : </t>
  </si>
  <si>
    <t>Cr(z) =</t>
  </si>
  <si>
    <t>Iv(z) =</t>
  </si>
  <si>
    <t>Vm(z) =</t>
  </si>
  <si>
    <t>m/s</t>
  </si>
  <si>
    <t>ρ=</t>
  </si>
  <si>
    <t>qp(z) =</t>
  </si>
  <si>
    <t>N/m²</t>
  </si>
  <si>
    <t>Angle inf.</t>
  </si>
  <si>
    <t>Angles Sup.</t>
  </si>
  <si>
    <t>qb=</t>
  </si>
  <si>
    <t>Ce(z) =</t>
  </si>
  <si>
    <t>Forme de toit :</t>
  </si>
  <si>
    <t>Angle Inf</t>
  </si>
  <si>
    <t>centre long</t>
  </si>
  <si>
    <t>égout long</t>
  </si>
  <si>
    <t>centre haut BP</t>
  </si>
  <si>
    <t>centre haut MP</t>
  </si>
  <si>
    <t>Poids :</t>
  </si>
  <si>
    <t>Cpe+</t>
  </si>
  <si>
    <t>Cpe-</t>
  </si>
  <si>
    <t>Vis</t>
  </si>
  <si>
    <t>we+</t>
  </si>
  <si>
    <t>we-</t>
  </si>
  <si>
    <t>entrax 1</t>
  </si>
  <si>
    <t>entrax 3</t>
  </si>
  <si>
    <t>entrax 2</t>
  </si>
  <si>
    <t>Résistance</t>
  </si>
  <si>
    <t>Element</t>
  </si>
  <si>
    <t>Config</t>
  </si>
  <si>
    <t>Entraxe</t>
  </si>
  <si>
    <t xml:space="preserve">Essais </t>
  </si>
  <si>
    <t>RDM 6</t>
  </si>
  <si>
    <t>Moment inertie :</t>
  </si>
  <si>
    <t>Fibre :</t>
  </si>
  <si>
    <t>mm</t>
  </si>
  <si>
    <t>mm4</t>
  </si>
  <si>
    <t>Mpa</t>
  </si>
  <si>
    <t>Coef de sécu :</t>
  </si>
  <si>
    <t>ELU CC3</t>
  </si>
  <si>
    <t>Etriers</t>
  </si>
  <si>
    <t>Vis / Crochet</t>
  </si>
  <si>
    <t>PERGOLA Dimensions</t>
  </si>
  <si>
    <t xml:space="preserve">Snow zones </t>
  </si>
  <si>
    <t>Sk</t>
  </si>
  <si>
    <t>Sad</t>
  </si>
  <si>
    <t>A1</t>
  </si>
  <si>
    <t>A2</t>
  </si>
  <si>
    <t>B1</t>
  </si>
  <si>
    <t>B2</t>
  </si>
  <si>
    <t>C1</t>
  </si>
  <si>
    <t>C2</t>
  </si>
  <si>
    <t>D</t>
  </si>
  <si>
    <t>E</t>
  </si>
  <si>
    <r>
      <t>μ</t>
    </r>
    <r>
      <rPr>
        <vertAlign val="subscript"/>
        <sz val="11"/>
        <color theme="1"/>
        <rFont val="Calibri"/>
        <family val="2"/>
      </rPr>
      <t>1</t>
    </r>
    <r>
      <rPr>
        <sz val="11"/>
        <color theme="1"/>
        <rFont val="Calibri"/>
        <family val="2"/>
      </rPr>
      <t xml:space="preserve"> =</t>
    </r>
  </si>
  <si>
    <r>
      <t>C</t>
    </r>
    <r>
      <rPr>
        <vertAlign val="subscript"/>
        <sz val="11"/>
        <color theme="1"/>
        <rFont val="Calibri"/>
        <family val="2"/>
        <scheme val="minor"/>
      </rPr>
      <t xml:space="preserve">e </t>
    </r>
    <r>
      <rPr>
        <sz val="11"/>
        <color theme="1"/>
        <rFont val="Calibri"/>
        <family val="2"/>
        <scheme val="minor"/>
      </rPr>
      <t>=</t>
    </r>
  </si>
  <si>
    <r>
      <t>C</t>
    </r>
    <r>
      <rPr>
        <vertAlign val="subscript"/>
        <sz val="11"/>
        <color theme="1"/>
        <rFont val="Calibri"/>
        <family val="2"/>
        <scheme val="minor"/>
      </rPr>
      <t xml:space="preserve">t </t>
    </r>
    <r>
      <rPr>
        <sz val="11"/>
        <color theme="1"/>
        <rFont val="Calibri"/>
        <family val="2"/>
        <scheme val="minor"/>
      </rPr>
      <t>=</t>
    </r>
  </si>
  <si>
    <t>Sk,200</t>
  </si>
  <si>
    <r>
      <rPr>
        <sz val="11"/>
        <color theme="1"/>
        <rFont val="Calibri"/>
        <family val="2"/>
      </rPr>
      <t>Δ</t>
    </r>
    <r>
      <rPr>
        <sz val="11"/>
        <color theme="1"/>
        <rFont val="Calibri"/>
        <family val="2"/>
        <scheme val="minor"/>
      </rPr>
      <t>S1</t>
    </r>
  </si>
  <si>
    <t>CC1</t>
  </si>
  <si>
    <t>CC2</t>
  </si>
  <si>
    <t>CC3</t>
  </si>
  <si>
    <t xml:space="preserve">Sn = </t>
  </si>
  <si>
    <t xml:space="preserve">Sn,proj = </t>
  </si>
  <si>
    <t xml:space="preserve">Snad = </t>
  </si>
  <si>
    <t xml:space="preserve">Snad,proj = </t>
  </si>
  <si>
    <t xml:space="preserve">Sp,n = </t>
  </si>
  <si>
    <t>Sg,n =</t>
  </si>
  <si>
    <t xml:space="preserve">Sp,ad = </t>
  </si>
  <si>
    <t>Sg,ad =</t>
  </si>
  <si>
    <t>1,35.G + 1,5.(Sn+0,6.W+)</t>
  </si>
  <si>
    <t>1,35.G + 1,5.(0,5.Sn+W+)</t>
  </si>
  <si>
    <t>Quadro</t>
  </si>
  <si>
    <t>Trio</t>
  </si>
  <si>
    <t>entrax 4</t>
  </si>
  <si>
    <t>0,9.G + 1,5.W-</t>
  </si>
  <si>
    <t>ELU CC2</t>
  </si>
  <si>
    <t>ELU CC1</t>
  </si>
  <si>
    <t>G parallèle :</t>
  </si>
  <si>
    <t>G droit :</t>
  </si>
  <si>
    <t>G :</t>
  </si>
  <si>
    <t>Sn p,parallèle:</t>
  </si>
  <si>
    <t>Sn p,droit:</t>
  </si>
  <si>
    <t>Entraxe Crochets</t>
  </si>
  <si>
    <t>OUI</t>
  </si>
  <si>
    <t>NON</t>
  </si>
  <si>
    <t xml:space="preserve">Zone de toit </t>
  </si>
  <si>
    <t xml:space="preserve">Pour information : Notes de calculs théoriques pour chaque zone </t>
  </si>
  <si>
    <t>Implantation Champs PV</t>
  </si>
  <si>
    <t>VENT</t>
  </si>
  <si>
    <t>NEIGE</t>
  </si>
  <si>
    <t>Catégories de terrain</t>
  </si>
  <si>
    <t>nb fixation/micro</t>
  </si>
  <si>
    <t>nb module/micro</t>
  </si>
  <si>
    <t>Type de panne</t>
  </si>
  <si>
    <t>Bois</t>
  </si>
  <si>
    <t>Métal</t>
  </si>
  <si>
    <t xml:space="preserve">Surcharge </t>
  </si>
  <si>
    <t>Surcharge</t>
  </si>
  <si>
    <t>Entraxe Crochet Min</t>
  </si>
  <si>
    <t>Methode 1 :</t>
  </si>
  <si>
    <t>Methode 2 :</t>
  </si>
  <si>
    <r>
      <t xml:space="preserve">Pression dynamique de </t>
    </r>
    <r>
      <rPr>
        <b/>
        <sz val="14"/>
        <color theme="1"/>
        <rFont val="Calibri"/>
        <family val="2"/>
        <scheme val="minor"/>
      </rPr>
      <t>pointe</t>
    </r>
  </si>
  <si>
    <t>Distributeur :</t>
  </si>
  <si>
    <t>Limite élastique du rail :</t>
  </si>
  <si>
    <t>Support Rail :</t>
  </si>
  <si>
    <t>Force Rupture</t>
  </si>
  <si>
    <t>Déplacement</t>
  </si>
  <si>
    <t>Exemples</t>
  </si>
  <si>
    <t>Projet</t>
  </si>
  <si>
    <t>Pression</t>
  </si>
  <si>
    <t>Pondération</t>
  </si>
  <si>
    <t>Module Young</t>
  </si>
  <si>
    <t xml:space="preserve">Formules </t>
  </si>
  <si>
    <t>Compatibilité crochet</t>
  </si>
  <si>
    <t>Compatibilité calepinage</t>
  </si>
  <si>
    <t xml:space="preserve">Zones de neige et charge de base </t>
  </si>
  <si>
    <t>pente :</t>
  </si>
  <si>
    <t>altitude :</t>
  </si>
  <si>
    <t>Zone :</t>
  </si>
  <si>
    <t>α (pente)</t>
  </si>
  <si>
    <t>0° ≤ α ≤ 30°</t>
  </si>
  <si>
    <t>30° &lt; α &lt; 60°</t>
  </si>
  <si>
    <t xml:space="preserve"> 60° ≤ α</t>
  </si>
  <si>
    <t>0,8 *(60-α)/30</t>
  </si>
  <si>
    <t>μ2 =</t>
  </si>
  <si>
    <t>0,8 + 0,8*α/30</t>
  </si>
  <si>
    <t>-</t>
  </si>
  <si>
    <t xml:space="preserve">Composantes en toiture </t>
  </si>
  <si>
    <t>Charge projetée</t>
  </si>
  <si>
    <t>Composantes de charge</t>
  </si>
  <si>
    <t>Porte à faux</t>
  </si>
  <si>
    <t>flèche centrale</t>
  </si>
  <si>
    <t>Rampant toit :</t>
  </si>
  <si>
    <t>Largeur bat :</t>
  </si>
  <si>
    <t>entrax 5</t>
  </si>
  <si>
    <t>entrax 6</t>
  </si>
  <si>
    <t>Dimensions bâtiment</t>
  </si>
  <si>
    <t>type toiture</t>
  </si>
  <si>
    <t>Largeur bat calculée</t>
  </si>
  <si>
    <t>rampant toit calculé</t>
  </si>
  <si>
    <t>Vent 0°</t>
  </si>
  <si>
    <t>Vent 90°</t>
  </si>
  <si>
    <t>e,0°</t>
  </si>
  <si>
    <t>e,90°</t>
  </si>
  <si>
    <t>e,0/10</t>
  </si>
  <si>
    <t>e,90/10</t>
  </si>
  <si>
    <t>e,0/4</t>
  </si>
  <si>
    <t>e,90/4</t>
  </si>
  <si>
    <t>e,0/10 proj</t>
  </si>
  <si>
    <t>e,90/10 proj</t>
  </si>
  <si>
    <t>e,0/4 proj</t>
  </si>
  <si>
    <t>e,90/4 proj</t>
  </si>
  <si>
    <t>hauteur rive MP</t>
  </si>
  <si>
    <t>hauteur rive BP</t>
  </si>
  <si>
    <t>Zones de vent</t>
  </si>
  <si>
    <t>Zones de neige</t>
  </si>
  <si>
    <t>Choix charpente</t>
  </si>
  <si>
    <t xml:space="preserve">Liste matériels </t>
  </si>
  <si>
    <t>En cas de problème d'affichage du schéma ci-contre</t>
  </si>
  <si>
    <t xml:space="preserve">cat : </t>
  </si>
  <si>
    <t>hauteur bat :</t>
  </si>
  <si>
    <r>
      <t xml:space="preserve">Appuyer sur : </t>
    </r>
    <r>
      <rPr>
        <b/>
        <sz val="12"/>
        <color theme="1"/>
        <rFont val="Calibri"/>
        <family val="2"/>
        <scheme val="minor"/>
      </rPr>
      <t>MAJ + F9</t>
    </r>
  </si>
  <si>
    <t>Complément étanchéité</t>
  </si>
  <si>
    <t>Bois Tradit. (chevrons)</t>
  </si>
  <si>
    <t>Bois Indust. (fermettes)</t>
  </si>
  <si>
    <t>Métal Indust. (pannes)</t>
  </si>
  <si>
    <t>Bois Indust. (pannes)</t>
  </si>
  <si>
    <t xml:space="preserve">Crochet non compatible </t>
  </si>
  <si>
    <t xml:space="preserve">Calepinage non compatible </t>
  </si>
  <si>
    <t>Sélectionner un calepinage compatible</t>
  </si>
  <si>
    <t>Compatibilité charpente</t>
  </si>
  <si>
    <t xml:space="preserve">Charpentes </t>
  </si>
  <si>
    <t>Mise en forme</t>
  </si>
  <si>
    <t>Sélectionner une charpente compatible</t>
  </si>
  <si>
    <t xml:space="preserve">Charpente non compatible </t>
  </si>
  <si>
    <t>Sélectionner un support de rail compatible</t>
  </si>
  <si>
    <t>Entraxe panne Min</t>
  </si>
  <si>
    <t/>
  </si>
  <si>
    <t>Zone de vent</t>
  </si>
  <si>
    <t>Nom du projet :</t>
  </si>
  <si>
    <t xml:space="preserve">Projet </t>
  </si>
  <si>
    <t>Référence :</t>
  </si>
  <si>
    <t>Nom  :</t>
  </si>
  <si>
    <t xml:space="preserve">Batiment  </t>
  </si>
  <si>
    <t>Système PV</t>
  </si>
  <si>
    <t xml:space="preserve">Module </t>
  </si>
  <si>
    <t>Puissance Installation :</t>
  </si>
  <si>
    <t>Dimensions :</t>
  </si>
  <si>
    <t>Pression dynamique de vent :</t>
  </si>
  <si>
    <t>Masse volumique de l'air :</t>
  </si>
  <si>
    <t>coefficient de forme μ :</t>
  </si>
  <si>
    <t>Vérifications (EN 1991-1-3, EN 1991-1-4 et NA)</t>
  </si>
  <si>
    <t>Poids propre système :</t>
  </si>
  <si>
    <t xml:space="preserve">Système </t>
  </si>
  <si>
    <t>Réf. projet :</t>
  </si>
  <si>
    <t xml:space="preserve">Date : </t>
  </si>
  <si>
    <t>Rail Alu 1200 mm 36.5x H50 mm - ISY-PV</t>
  </si>
  <si>
    <t>Rail Alu 2400 mm 36.5x H50 mm - ISY-PV</t>
  </si>
  <si>
    <t>Rail Black 1200 mm 36.5x H50 mm - ISY-PV</t>
  </si>
  <si>
    <t>Rail Black 2400 mm 36.5x H50 mm - ISY-PV</t>
  </si>
  <si>
    <t>Etriers exter Black - ISY-PV</t>
  </si>
  <si>
    <t>Etriers inter Black - ISY-PV</t>
  </si>
  <si>
    <t>Etriers spring exter black - ISY-PV</t>
  </si>
  <si>
    <t>Etriers spring inter black - ISY-PV</t>
  </si>
  <si>
    <t>Crochets Standard TMH - ISY-PV</t>
  </si>
  <si>
    <t>Crochet standard réglable - ISY-PV</t>
  </si>
  <si>
    <t>Tire-Fond bois M10 x 200 - ISY-PV</t>
  </si>
  <si>
    <t>Tire-Fond bois M10 x 250- ISY-PV</t>
  </si>
  <si>
    <t>Tire-Fond bois M12 x 300- ISY-PV</t>
  </si>
  <si>
    <t>380091_V3</t>
  </si>
  <si>
    <t>Crochets tuiles plates - ISY-PV</t>
  </si>
  <si>
    <t>Crochet ardoises - ISY-PV</t>
  </si>
  <si>
    <t>Crochet ardoises compact Black Finish - ISY-PV</t>
  </si>
  <si>
    <t>Tire-fond métal M10x160 - ISY-PV</t>
  </si>
  <si>
    <t>Vis à bois tête hexa 6,3*80 (100p) - ISY-PV</t>
  </si>
  <si>
    <t>Vis à bois tête disque 6*80 (100p) - ISY-PV</t>
  </si>
  <si>
    <t>Terragrif Universelle</t>
  </si>
  <si>
    <t>Griffe MALT ISY-PV </t>
  </si>
  <si>
    <t>Clip Omega - ISY PV</t>
  </si>
  <si>
    <t>Bac trapézoïdale</t>
  </si>
  <si>
    <t xml:space="preserve">Rapport de dimensionnement </t>
  </si>
  <si>
    <t>Paysage - ISY-RAIL</t>
  </si>
  <si>
    <t>Portrait - ISY-RAIL</t>
  </si>
  <si>
    <t>Rail Alu 3600 mm 36.5x H50 mm - ISY-PV</t>
  </si>
  <si>
    <t>Rail Black 3600 mm 36.5x H50 mm - ISY-PV</t>
  </si>
  <si>
    <t>Rails Black 4800 mm 36.5x H50 mm V3 - ISY-PV</t>
  </si>
  <si>
    <t xml:space="preserve">ISY-Rail v1 + EPDM + 4 Vis </t>
  </si>
  <si>
    <t>ISY-Rail v2 - L385 + EPDM + 4 vis</t>
  </si>
  <si>
    <t>ISY-Rail v2 - L710 + EPDM + 6 vis</t>
  </si>
  <si>
    <t>Espace nervure</t>
  </si>
  <si>
    <t>Ascendante :</t>
  </si>
  <si>
    <t>Charges admissibles module (valeur test)</t>
  </si>
  <si>
    <t>Raccord de rail - QCC V3 - ISY-PV</t>
  </si>
  <si>
    <t>Raccord de Rail Clips - ISY-PV</t>
  </si>
  <si>
    <t>Bouchon de fin de rails black - ISY-PV</t>
  </si>
  <si>
    <t>Fin de Rails Silver - IZIPV</t>
  </si>
  <si>
    <t>Connecteur rails croisés - ISY-PV</t>
  </si>
  <si>
    <t>ISYRAIL</t>
  </si>
  <si>
    <t>Fixations Alu Exter V3 - IZIPV</t>
  </si>
  <si>
    <t>Finition  :</t>
  </si>
  <si>
    <t>Validé sous ETN n° A.24.08620</t>
  </si>
  <si>
    <t>Validé sous ETN n° A.24.09151</t>
  </si>
  <si>
    <t>ISY-RAIL</t>
  </si>
  <si>
    <t>CC4</t>
  </si>
  <si>
    <t>1,00.G + 1,00.Sa + 0,6.W+</t>
  </si>
  <si>
    <t>ELU CC4</t>
  </si>
  <si>
    <t>Compatibilité longueur</t>
  </si>
  <si>
    <t>Tuile faible galbe / aspect plat</t>
  </si>
  <si>
    <t>Tuile fort galbe</t>
  </si>
  <si>
    <t>Sn ,proj:</t>
  </si>
  <si>
    <t>Sad p,parallèle:</t>
  </si>
  <si>
    <t>Sad p,droit :</t>
  </si>
  <si>
    <t>Sad ,proj :</t>
  </si>
  <si>
    <t>ELS 1</t>
  </si>
  <si>
    <t>ELS 2</t>
  </si>
  <si>
    <t>ELS 3</t>
  </si>
  <si>
    <t>Coefficient Module</t>
  </si>
  <si>
    <t>Coefficient Système</t>
  </si>
  <si>
    <t>System Area</t>
  </si>
  <si>
    <t>1,0.G + 1,0.(W++0,6.Sn)</t>
  </si>
  <si>
    <t>1,0.G + 1,0.(Sn+0,6.W+)</t>
  </si>
  <si>
    <t>1,0.G + 1,0.W-</t>
  </si>
  <si>
    <t>Descendante :</t>
  </si>
  <si>
    <t xml:space="preserve">Vérification Système </t>
  </si>
  <si>
    <t>Vérification Module</t>
  </si>
  <si>
    <t>Bord Long</t>
  </si>
  <si>
    <t>Bords courts</t>
  </si>
  <si>
    <t>Position étriers :</t>
  </si>
  <si>
    <t>Oui</t>
  </si>
  <si>
    <r>
      <t xml:space="preserve">Données climatiques </t>
    </r>
    <r>
      <rPr>
        <b/>
        <sz val="10"/>
        <color theme="3"/>
        <rFont val="Calibri"/>
        <family val="2"/>
        <scheme val="minor"/>
      </rPr>
      <t>(NF EN 1991)</t>
    </r>
  </si>
  <si>
    <t>Charge de neige au sol :</t>
  </si>
  <si>
    <t>Charge de neige sur le toit :</t>
  </si>
  <si>
    <t>Sk =</t>
  </si>
  <si>
    <t>Implantation sur le toit :</t>
  </si>
  <si>
    <t>Champs PV</t>
  </si>
  <si>
    <t>Vérification composants</t>
  </si>
  <si>
    <t>Pression asc. max</t>
  </si>
  <si>
    <t>Pression desc. max</t>
  </si>
  <si>
    <t>Mod</t>
  </si>
  <si>
    <t>perp</t>
  </si>
  <si>
    <t>paral</t>
  </si>
  <si>
    <t>ELU_Down</t>
  </si>
  <si>
    <t>ELU_Up</t>
  </si>
  <si>
    <t>ELS_Up</t>
  </si>
  <si>
    <t>ELS_Down</t>
  </si>
  <si>
    <t>Syst</t>
  </si>
  <si>
    <t>Charges projet</t>
  </si>
  <si>
    <t>Vérification du système</t>
  </si>
  <si>
    <t>Sollicitation Rail</t>
  </si>
  <si>
    <t>Sollicitation Crochet</t>
  </si>
  <si>
    <t>Sollicitation Etriers</t>
  </si>
  <si>
    <t>Sollicitation vis</t>
  </si>
  <si>
    <t>Etrier inter</t>
  </si>
  <si>
    <t>Etrier exter</t>
  </si>
  <si>
    <t xml:space="preserve">Vérification du système : </t>
  </si>
  <si>
    <t>Vérification des modules</t>
  </si>
  <si>
    <t xml:space="preserve">positions étriers </t>
  </si>
  <si>
    <t>Pression ascendante :</t>
  </si>
  <si>
    <t>Pression descendante :</t>
  </si>
  <si>
    <t>Longueur :</t>
  </si>
  <si>
    <t>Surcharge modules</t>
  </si>
  <si>
    <t>Consulter le fabricant de module</t>
  </si>
  <si>
    <t xml:space="preserve">Vérification des modules : </t>
  </si>
  <si>
    <t>Sollicitation ISY-Rail</t>
  </si>
  <si>
    <t>Efforts perpendiculaires</t>
  </si>
  <si>
    <t>Efforts parallèles</t>
  </si>
  <si>
    <t>Séparation thermique</t>
  </si>
  <si>
    <t>Nombre séparation</t>
  </si>
  <si>
    <t>C24</t>
  </si>
  <si>
    <t>C18</t>
  </si>
  <si>
    <t xml:space="preserve">Classe bois : </t>
  </si>
  <si>
    <t>Classe de bois</t>
  </si>
  <si>
    <r>
      <t>F</t>
    </r>
    <r>
      <rPr>
        <vertAlign val="subscript"/>
        <sz val="11"/>
        <color theme="1"/>
        <rFont val="Calibri"/>
        <family val="2"/>
        <scheme val="minor"/>
      </rPr>
      <t>ax,Rk,1vis</t>
    </r>
  </si>
  <si>
    <t>Nombre de rail entier / u</t>
  </si>
  <si>
    <t>nb découpes / rail</t>
  </si>
  <si>
    <t>découpe rail th</t>
  </si>
  <si>
    <t>ELU</t>
  </si>
  <si>
    <t>nb découpes / rail c</t>
  </si>
  <si>
    <t>Nombre de rails croisés</t>
  </si>
  <si>
    <t>Nombre de rails</t>
  </si>
  <si>
    <t>Découpe des rails</t>
  </si>
  <si>
    <t>Rails entiers :</t>
  </si>
  <si>
    <t>Coupe dernier rail :</t>
  </si>
  <si>
    <t>Ligne de rail principale</t>
  </si>
  <si>
    <t>Ligne de rail croisé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</si>
</sst>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44" formatCode="_-* #,##0.00\ &quot;€&quot;_-;\-* #,##0.00\ &quot;€&quot;_-;_-* &quot;-&quot;??\ &quot;€&quot;_-;_-@_-"/>
    <numFmt numFmtId="164" formatCode="0&quot; m&quot;"/>
    <numFmt numFmtId="165" formatCode="0.0&quot;°&quot;"/>
    <numFmt numFmtId="166" formatCode="0.00000000&quot;°&quot;"/>
    <numFmt numFmtId="167" formatCode="0.0&quot;m&quot;"/>
    <numFmt numFmtId="168" formatCode="0&quot;%&quot;"/>
    <numFmt numFmtId="169" formatCode="0.00&quot; m&quot;"/>
    <numFmt numFmtId="170" formatCode="0&quot; mm&quot;"/>
    <numFmt numFmtId="171" formatCode="0&quot; Wc&quot;"/>
    <numFmt numFmtId="172" formatCode="0&quot; m&quot;;&quot;0 m&quot;"/>
    <numFmt numFmtId="173" formatCode="0&quot; mm&quot;;&quot;0 mm&quot;;0&quot; mm&quot;"/>
    <numFmt numFmtId="174" formatCode="0&quot; Pa&quot;"/>
    <numFmt numFmtId="175" formatCode="0.0"/>
    <numFmt numFmtId="176" formatCode="0.0000"/>
    <numFmt numFmtId="177" formatCode="#,##0.0&quot;m&quot;"/>
    <numFmt numFmtId="178" formatCode="0.000"/>
    <numFmt numFmtId="179" formatCode="0.000&quot; kN/m²&quot;"/>
    <numFmt numFmtId="180" formatCode="0&quot; N&quot;"/>
    <numFmt numFmtId="181" formatCode="&quot;1 chevron sur &quot;0"/>
    <numFmt numFmtId="182" formatCode="0&quot;°&quot;"/>
    <numFmt numFmtId="183" formatCode="0&quot;m&quot;"/>
    <numFmt numFmtId="184" formatCode="0.00&quot; mm&quot;"/>
    <numFmt numFmtId="185" formatCode="0.000&quot; mm&quot;"/>
    <numFmt numFmtId="186" formatCode="0.00&quot; m&quot;;&quot;0 m&quot;"/>
    <numFmt numFmtId="187" formatCode="#,##0.00&quot;m&quot;"/>
    <numFmt numFmtId="188" formatCode="0.0&quot; kg&quot;"/>
    <numFmt numFmtId="189" formatCode="0.00&quot; kWc&quot;"/>
    <numFmt numFmtId="190" formatCode="0&quot; N/m²&quot;"/>
    <numFmt numFmtId="191" formatCode="0.000&quot; kg/m3&quot;"/>
    <numFmt numFmtId="192" formatCode=";;;@"/>
    <numFmt numFmtId="193" formatCode="0.000&quot; m&quot;"/>
    <numFmt numFmtId="194" formatCode="0&quot; par côté&quot;"/>
    <numFmt numFmtId="195" formatCode="0&quot; mm&quot;;;"/>
    <numFmt numFmtId="196" formatCode="0.000&quot; m&quot;;;#"/>
    <numFmt numFmtId="197" formatCode="0&quot; Pa&quot;;\-0&quot; Pa&quot;;#"/>
  </numFmts>
  <fonts count="66" x14ac:knownFonts="1">
    <font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3"/>
      <name val="Calibri"/>
      <family val="2"/>
      <scheme val="minor"/>
    </font>
    <font>
      <i/>
      <sz val="10"/>
      <color theme="2" tint="-0.49998474074526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8"/>
      <color theme="1" tint="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14"/>
      <color rgb="FF002060"/>
      <name val="Calibri"/>
      <family val="2"/>
      <scheme val="minor"/>
    </font>
    <font>
      <sz val="12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theme="1"/>
      <name val="Times New Roman"/>
      <family val="1"/>
    </font>
    <font>
      <b/>
      <sz val="12"/>
      <color rgb="FF7030A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vertAlign val="subscript"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rgb="FF00206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0"/>
      <name val="Calibri"/>
      <family val="2"/>
      <scheme val="minor"/>
    </font>
    <font>
      <vertAlign val="subscript"/>
      <sz val="11"/>
      <color theme="1"/>
      <name val="Calibri"/>
      <family val="2"/>
    </font>
    <font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u/>
      <sz val="11"/>
      <color theme="9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1E3E77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28"/>
      <color rgb="FF002060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9"/>
      <color theme="3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rgb="FFFA7D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</patternFill>
    </fill>
  </fills>
  <borders count="1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/>
      <right style="thin">
        <color rgb="FF002060"/>
      </right>
      <top style="hair">
        <color indexed="64"/>
      </top>
      <bottom style="hair">
        <color indexed="64"/>
      </bottom>
      <diagonal/>
    </border>
    <border>
      <left/>
      <right style="thin">
        <color rgb="FF002060"/>
      </right>
      <top/>
      <bottom style="hair">
        <color indexed="64"/>
      </bottom>
      <diagonal/>
    </border>
    <border>
      <left/>
      <right style="thin">
        <color indexed="64"/>
      </right>
      <top style="medium">
        <color rgb="FF002060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2060"/>
      </bottom>
      <diagonal/>
    </border>
    <border>
      <left/>
      <right/>
      <top style="medium">
        <color indexed="64"/>
      </top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indexed="64"/>
      </top>
      <bottom style="medium">
        <color rgb="FF00206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2060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rgb="FF002060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/>
      <diagonal/>
    </border>
    <border>
      <left/>
      <right/>
      <top style="medium">
        <color theme="9" tint="-0.249977111117893"/>
      </top>
      <bottom/>
      <diagonal/>
    </border>
    <border>
      <left/>
      <right style="medium">
        <color theme="9" tint="-0.249977111117893"/>
      </right>
      <top style="medium">
        <color theme="9" tint="-0.249977111117893"/>
      </top>
      <bottom/>
      <diagonal/>
    </border>
    <border>
      <left style="medium">
        <color theme="9" tint="-0.249977111117893"/>
      </left>
      <right/>
      <top/>
      <bottom/>
      <diagonal/>
    </border>
    <border>
      <left/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/>
      <top/>
      <bottom style="medium">
        <color theme="9" tint="-0.249977111117893"/>
      </bottom>
      <diagonal/>
    </border>
    <border>
      <left/>
      <right/>
      <top/>
      <bottom style="medium">
        <color theme="9" tint="-0.249977111117893"/>
      </bottom>
      <diagonal/>
    </border>
    <border>
      <left/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rgb="FF002060"/>
      </bottom>
      <diagonal/>
    </border>
    <border>
      <left style="thin">
        <color indexed="64"/>
      </left>
      <right style="thin">
        <color rgb="FF002060"/>
      </right>
      <top style="medium">
        <color rgb="FF002060"/>
      </top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/>
      <diagonal/>
    </border>
    <border>
      <left/>
      <right/>
      <top style="medium">
        <color theme="9" tint="-0.499984740745262"/>
      </top>
      <bottom/>
      <diagonal/>
    </border>
    <border>
      <left/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/>
      <top/>
      <bottom/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/>
      <top/>
      <bottom style="medium">
        <color theme="9" tint="-0.499984740745262"/>
      </bottom>
      <diagonal/>
    </border>
    <border>
      <left/>
      <right/>
      <top/>
      <bottom style="medium">
        <color theme="9" tint="-0.499984740745262"/>
      </bottom>
      <diagonal/>
    </border>
    <border>
      <left/>
      <right style="medium">
        <color theme="9" tint="-0.499984740745262"/>
      </right>
      <top/>
      <bottom style="medium">
        <color theme="9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/>
      <bottom style="thin">
        <color theme="9" tint="-0.499984740745262"/>
      </bottom>
      <diagonal/>
    </border>
  </borders>
  <cellStyleXfs count="8">
    <xf numFmtId="0" fontId="0" fillId="0" borderId="0"/>
    <xf numFmtId="0" fontId="6" fillId="0" borderId="0" applyNumberForma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4" fillId="0" borderId="100" applyNumberFormat="0" applyFill="0" applyAlignment="0" applyProtection="0"/>
    <xf numFmtId="0" fontId="45" fillId="0" borderId="101" applyNumberFormat="0" applyFill="0" applyAlignment="0" applyProtection="0"/>
    <xf numFmtId="0" fontId="46" fillId="0" borderId="110" applyNumberFormat="0" applyFill="0" applyAlignment="0" applyProtection="0"/>
    <xf numFmtId="0" fontId="65" fillId="29" borderId="139" applyNumberFormat="0" applyAlignment="0" applyProtection="0"/>
  </cellStyleXfs>
  <cellXfs count="817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/>
    <xf numFmtId="0" fontId="0" fillId="0" borderId="11" xfId="0" applyBorder="1" applyAlignment="1">
      <alignment horizontal="center" vertical="center"/>
    </xf>
    <xf numFmtId="0" fontId="0" fillId="5" borderId="15" xfId="0" applyFill="1" applyBorder="1"/>
    <xf numFmtId="0" fontId="0" fillId="5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165" fontId="0" fillId="4" borderId="15" xfId="0" applyNumberFormat="1" applyFill="1" applyBorder="1"/>
    <xf numFmtId="165" fontId="0" fillId="4" borderId="16" xfId="0" applyNumberFormat="1" applyFill="1" applyBorder="1"/>
    <xf numFmtId="167" fontId="0" fillId="4" borderId="17" xfId="0" applyNumberFormat="1" applyFill="1" applyBorder="1"/>
    <xf numFmtId="165" fontId="0" fillId="0" borderId="4" xfId="0" applyNumberFormat="1" applyBorder="1"/>
    <xf numFmtId="165" fontId="0" fillId="0" borderId="7" xfId="0" applyNumberFormat="1" applyBorder="1"/>
    <xf numFmtId="165" fontId="0" fillId="0" borderId="10" xfId="0" applyNumberFormat="1" applyBorder="1"/>
    <xf numFmtId="165" fontId="0" fillId="0" borderId="2" xfId="0" applyNumberFormat="1" applyBorder="1"/>
    <xf numFmtId="165" fontId="0" fillId="0" borderId="5" xfId="0" applyNumberFormat="1" applyBorder="1"/>
    <xf numFmtId="165" fontId="0" fillId="0" borderId="8" xfId="0" applyNumberFormat="1" applyBorder="1"/>
    <xf numFmtId="168" fontId="0" fillId="6" borderId="2" xfId="0" applyNumberFormat="1" applyFill="1" applyBorder="1" applyAlignment="1">
      <alignment horizontal="center" vertical="center"/>
    </xf>
    <xf numFmtId="168" fontId="0" fillId="6" borderId="19" xfId="0" applyNumberFormat="1" applyFill="1" applyBorder="1" applyAlignment="1">
      <alignment horizontal="center" vertical="center"/>
    </xf>
    <xf numFmtId="168" fontId="0" fillId="6" borderId="5" xfId="0" applyNumberFormat="1" applyFill="1" applyBorder="1" applyAlignment="1">
      <alignment horizontal="center" vertical="center"/>
    </xf>
    <xf numFmtId="168" fontId="0" fillId="6" borderId="20" xfId="0" applyNumberFormat="1" applyFill="1" applyBorder="1" applyAlignment="1">
      <alignment horizontal="center" vertical="center"/>
    </xf>
    <xf numFmtId="168" fontId="0" fillId="6" borderId="8" xfId="0" applyNumberFormat="1" applyFill="1" applyBorder="1" applyAlignment="1">
      <alignment horizontal="center" vertical="center"/>
    </xf>
    <xf numFmtId="168" fontId="0" fillId="6" borderId="21" xfId="0" applyNumberFormat="1" applyFill="1" applyBorder="1"/>
    <xf numFmtId="0" fontId="0" fillId="0" borderId="1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169" fontId="0" fillId="0" borderId="0" xfId="0" applyNumberFormat="1" applyAlignment="1">
      <alignment horizontal="center"/>
    </xf>
    <xf numFmtId="0" fontId="0" fillId="6" borderId="0" xfId="0" applyFill="1" applyAlignment="1">
      <alignment vertical="center"/>
    </xf>
    <xf numFmtId="0" fontId="0" fillId="0" borderId="0" xfId="0" applyAlignment="1">
      <alignment vertical="center"/>
    </xf>
    <xf numFmtId="170" fontId="0" fillId="5" borderId="15" xfId="0" applyNumberFormat="1" applyFill="1" applyBorder="1" applyAlignment="1">
      <alignment horizontal="right"/>
    </xf>
    <xf numFmtId="170" fontId="0" fillId="5" borderId="16" xfId="0" applyNumberFormat="1" applyFill="1" applyBorder="1" applyAlignment="1">
      <alignment horizontal="right"/>
    </xf>
    <xf numFmtId="170" fontId="0" fillId="0" borderId="16" xfId="0" applyNumberFormat="1" applyBorder="1"/>
    <xf numFmtId="170" fontId="0" fillId="0" borderId="17" xfId="0" applyNumberFormat="1" applyBorder="1"/>
    <xf numFmtId="0" fontId="0" fillId="6" borderId="0" xfId="0" applyFill="1" applyAlignment="1">
      <alignment horizontal="left" vertical="center"/>
    </xf>
    <xf numFmtId="169" fontId="0" fillId="6" borderId="0" xfId="0" applyNumberFormat="1" applyFill="1" applyAlignment="1">
      <alignment horizontal="left"/>
    </xf>
    <xf numFmtId="0" fontId="0" fillId="6" borderId="0" xfId="0" applyFill="1"/>
    <xf numFmtId="0" fontId="6" fillId="0" borderId="0" xfId="1" applyBorder="1"/>
    <xf numFmtId="0" fontId="0" fillId="0" borderId="15" xfId="0" applyBorder="1"/>
    <xf numFmtId="0" fontId="0" fillId="0" borderId="24" xfId="0" applyBorder="1"/>
    <xf numFmtId="0" fontId="0" fillId="0" borderId="16" xfId="0" applyBorder="1"/>
    <xf numFmtId="0" fontId="0" fillId="0" borderId="26" xfId="0" applyBorder="1"/>
    <xf numFmtId="0" fontId="0" fillId="0" borderId="28" xfId="0" applyBorder="1"/>
    <xf numFmtId="0" fontId="0" fillId="0" borderId="17" xfId="0" applyBorder="1"/>
    <xf numFmtId="0" fontId="7" fillId="0" borderId="0" xfId="0" applyFont="1"/>
    <xf numFmtId="164" fontId="7" fillId="0" borderId="0" xfId="0" applyNumberFormat="1" applyFont="1"/>
    <xf numFmtId="166" fontId="7" fillId="0" borderId="0" xfId="0" applyNumberFormat="1" applyFont="1"/>
    <xf numFmtId="0" fontId="0" fillId="0" borderId="0" xfId="0" applyAlignment="1">
      <alignment horizontal="left"/>
    </xf>
    <xf numFmtId="0" fontId="0" fillId="5" borderId="26" xfId="0" applyFill="1" applyBorder="1"/>
    <xf numFmtId="170" fontId="0" fillId="0" borderId="26" xfId="0" applyNumberFormat="1" applyBorder="1"/>
    <xf numFmtId="170" fontId="0" fillId="0" borderId="29" xfId="0" applyNumberFormat="1" applyBorder="1"/>
    <xf numFmtId="0" fontId="0" fillId="6" borderId="30" xfId="0" applyFill="1" applyBorder="1"/>
    <xf numFmtId="0" fontId="0" fillId="6" borderId="26" xfId="0" applyFill="1" applyBorder="1"/>
    <xf numFmtId="0" fontId="0" fillId="0" borderId="0" xfId="0" applyAlignment="1">
      <alignment wrapText="1"/>
    </xf>
    <xf numFmtId="0" fontId="0" fillId="5" borderId="29" xfId="0" applyFill="1" applyBorder="1"/>
    <xf numFmtId="0" fontId="0" fillId="6" borderId="26" xfId="0" applyFill="1" applyBorder="1" applyAlignment="1">
      <alignment horizontal="right" vertical="center"/>
    </xf>
    <xf numFmtId="0" fontId="0" fillId="0" borderId="14" xfId="0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0" fillId="6" borderId="16" xfId="0" applyFill="1" applyBorder="1"/>
    <xf numFmtId="0" fontId="2" fillId="0" borderId="15" xfId="0" applyFont="1" applyBorder="1"/>
    <xf numFmtId="0" fontId="2" fillId="6" borderId="16" xfId="0" applyFont="1" applyFill="1" applyBorder="1"/>
    <xf numFmtId="170" fontId="2" fillId="0" borderId="16" xfId="0" applyNumberFormat="1" applyFont="1" applyBorder="1"/>
    <xf numFmtId="0" fontId="2" fillId="0" borderId="16" xfId="0" applyFont="1" applyBorder="1"/>
    <xf numFmtId="0" fontId="2" fillId="5" borderId="16" xfId="0" applyFont="1" applyFill="1" applyBorder="1"/>
    <xf numFmtId="0" fontId="2" fillId="0" borderId="17" xfId="0" applyFont="1" applyBorder="1"/>
    <xf numFmtId="0" fontId="3" fillId="0" borderId="15" xfId="0" applyFont="1" applyBorder="1"/>
    <xf numFmtId="0" fontId="3" fillId="6" borderId="16" xfId="0" applyFont="1" applyFill="1" applyBorder="1"/>
    <xf numFmtId="170" fontId="0" fillId="0" borderId="31" xfId="0" applyNumberFormat="1" applyBorder="1"/>
    <xf numFmtId="0" fontId="2" fillId="6" borderId="31" xfId="0" applyFont="1" applyFill="1" applyBorder="1"/>
    <xf numFmtId="0" fontId="0" fillId="0" borderId="31" xfId="0" applyBorder="1"/>
    <xf numFmtId="170" fontId="2" fillId="0" borderId="17" xfId="0" applyNumberFormat="1" applyFont="1" applyBorder="1"/>
    <xf numFmtId="0" fontId="0" fillId="0" borderId="1" xfId="0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0" fillId="0" borderId="35" xfId="0" applyBorder="1" applyAlignment="1">
      <alignment horizontal="right"/>
    </xf>
    <xf numFmtId="0" fontId="0" fillId="0" borderId="37" xfId="0" applyBorder="1" applyAlignment="1">
      <alignment horizontal="right"/>
    </xf>
    <xf numFmtId="0" fontId="0" fillId="0" borderId="38" xfId="0" applyBorder="1"/>
    <xf numFmtId="0" fontId="11" fillId="0" borderId="38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22" xfId="0" applyBorder="1"/>
    <xf numFmtId="0" fontId="11" fillId="0" borderId="22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0" fillId="0" borderId="23" xfId="0" applyBorder="1"/>
    <xf numFmtId="0" fontId="11" fillId="0" borderId="14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0" fillId="6" borderId="32" xfId="0" applyFill="1" applyBorder="1"/>
    <xf numFmtId="0" fontId="0" fillId="6" borderId="33" xfId="0" applyFill="1" applyBorder="1" applyAlignment="1">
      <alignment horizontal="center" vertical="center"/>
    </xf>
    <xf numFmtId="0" fontId="0" fillId="6" borderId="33" xfId="0" applyFill="1" applyBorder="1"/>
    <xf numFmtId="0" fontId="0" fillId="6" borderId="34" xfId="0" applyFill="1" applyBorder="1"/>
    <xf numFmtId="0" fontId="0" fillId="6" borderId="35" xfId="0" applyFill="1" applyBorder="1"/>
    <xf numFmtId="0" fontId="0" fillId="6" borderId="0" xfId="0" applyFill="1" applyAlignment="1">
      <alignment horizontal="center" vertical="center"/>
    </xf>
    <xf numFmtId="0" fontId="0" fillId="6" borderId="36" xfId="0" applyFill="1" applyBorder="1"/>
    <xf numFmtId="0" fontId="0" fillId="6" borderId="38" xfId="0" applyFill="1" applyBorder="1" applyAlignment="1">
      <alignment horizontal="center" vertical="center"/>
    </xf>
    <xf numFmtId="0" fontId="0" fillId="6" borderId="38" xfId="0" applyFill="1" applyBorder="1"/>
    <xf numFmtId="0" fontId="0" fillId="6" borderId="39" xfId="0" applyFill="1" applyBorder="1"/>
    <xf numFmtId="0" fontId="0" fillId="0" borderId="32" xfId="0" applyBorder="1" applyAlignment="1">
      <alignment horizontal="right"/>
    </xf>
    <xf numFmtId="0" fontId="11" fillId="0" borderId="32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43" xfId="0" applyBorder="1"/>
    <xf numFmtId="0" fontId="0" fillId="0" borderId="33" xfId="0" applyBorder="1"/>
    <xf numFmtId="170" fontId="0" fillId="2" borderId="0" xfId="0" applyNumberFormat="1" applyFill="1" applyProtection="1">
      <protection locked="0"/>
    </xf>
    <xf numFmtId="171" fontId="0" fillId="2" borderId="0" xfId="0" applyNumberFormat="1" applyFill="1" applyProtection="1">
      <protection locked="0"/>
    </xf>
    <xf numFmtId="0" fontId="0" fillId="2" borderId="0" xfId="0" applyFill="1" applyAlignment="1" applyProtection="1">
      <alignment horizontal="center" vertical="center"/>
      <protection locked="0"/>
    </xf>
    <xf numFmtId="165" fontId="0" fillId="2" borderId="0" xfId="0" applyNumberFormat="1" applyFill="1" applyProtection="1">
      <protection locked="0"/>
    </xf>
    <xf numFmtId="0" fontId="12" fillId="0" borderId="0" xfId="0" applyFont="1"/>
    <xf numFmtId="0" fontId="13" fillId="0" borderId="0" xfId="0" applyFont="1"/>
    <xf numFmtId="0" fontId="0" fillId="0" borderId="24" xfId="0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horizontal="left" vertical="center"/>
    </xf>
    <xf numFmtId="0" fontId="0" fillId="0" borderId="18" xfId="0" applyBorder="1" applyAlignment="1">
      <alignment vertical="center"/>
    </xf>
    <xf numFmtId="0" fontId="0" fillId="0" borderId="0" xfId="0" applyAlignment="1">
      <alignment horizontal="right" vertical="center"/>
    </xf>
    <xf numFmtId="0" fontId="0" fillId="0" borderId="48" xfId="0" applyBorder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0" fillId="0" borderId="0" xfId="0" applyAlignment="1" applyProtection="1">
      <alignment vertical="center"/>
      <protection locked="0"/>
    </xf>
    <xf numFmtId="44" fontId="0" fillId="0" borderId="0" xfId="2" applyFont="1" applyFill="1" applyBorder="1"/>
    <xf numFmtId="0" fontId="0" fillId="2" borderId="45" xfId="0" applyFill="1" applyBorder="1" applyProtection="1">
      <protection locked="0"/>
    </xf>
    <xf numFmtId="0" fontId="0" fillId="2" borderId="47" xfId="0" applyFill="1" applyBorder="1" applyProtection="1">
      <protection locked="0"/>
    </xf>
    <xf numFmtId="0" fontId="0" fillId="2" borderId="0" xfId="0" applyFill="1" applyProtection="1">
      <protection locked="0"/>
    </xf>
    <xf numFmtId="9" fontId="0" fillId="2" borderId="0" xfId="3" applyFont="1" applyFill="1" applyAlignment="1" applyProtection="1">
      <alignment horizontal="center" vertical="center"/>
      <protection locked="0"/>
    </xf>
    <xf numFmtId="0" fontId="0" fillId="0" borderId="36" xfId="0" applyBorder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0" fontId="17" fillId="0" borderId="0" xfId="0" applyFont="1"/>
    <xf numFmtId="0" fontId="0" fillId="0" borderId="15" xfId="0" applyBorder="1" applyAlignment="1">
      <alignment horizontal="center" vertical="center"/>
    </xf>
    <xf numFmtId="0" fontId="0" fillId="0" borderId="29" xfId="0" applyBorder="1" applyAlignment="1">
      <alignment horizontal="left" vertical="center"/>
    </xf>
    <xf numFmtId="0" fontId="0" fillId="0" borderId="32" xfId="0" applyBorder="1"/>
    <xf numFmtId="0" fontId="0" fillId="0" borderId="3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1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0" fillId="0" borderId="38" xfId="0" applyBorder="1" applyAlignment="1">
      <alignment horizontal="center" vertical="center"/>
    </xf>
    <xf numFmtId="0" fontId="0" fillId="0" borderId="34" xfId="0" applyBorder="1"/>
    <xf numFmtId="0" fontId="0" fillId="0" borderId="36" xfId="0" applyBorder="1"/>
    <xf numFmtId="0" fontId="0" fillId="0" borderId="0" xfId="0" applyAlignment="1">
      <alignment horizontal="right" vertical="top"/>
    </xf>
    <xf numFmtId="0" fontId="5" fillId="0" borderId="0" xfId="0" applyFont="1" applyAlignment="1">
      <alignment vertical="center"/>
    </xf>
    <xf numFmtId="0" fontId="0" fillId="2" borderId="33" xfId="0" applyFill="1" applyBorder="1" applyProtection="1">
      <protection locked="0"/>
    </xf>
    <xf numFmtId="0" fontId="0" fillId="6" borderId="35" xfId="0" applyFill="1" applyBorder="1" applyAlignment="1">
      <alignment vertical="center"/>
    </xf>
    <xf numFmtId="0" fontId="0" fillId="6" borderId="37" xfId="0" applyFill="1" applyBorder="1" applyAlignment="1">
      <alignment vertical="center"/>
    </xf>
    <xf numFmtId="0" fontId="0" fillId="6" borderId="36" xfId="0" applyFill="1" applyBorder="1" applyAlignment="1">
      <alignment vertical="center"/>
    </xf>
    <xf numFmtId="0" fontId="0" fillId="0" borderId="35" xfId="0" applyBorder="1" applyAlignment="1">
      <alignment horizontal="right" vertical="center"/>
    </xf>
    <xf numFmtId="0" fontId="0" fillId="0" borderId="30" xfId="0" applyBorder="1" applyAlignment="1">
      <alignment horizontal="right" vertical="center"/>
    </xf>
    <xf numFmtId="0" fontId="0" fillId="0" borderId="43" xfId="0" applyBorder="1" applyAlignment="1">
      <alignment vertical="center"/>
    </xf>
    <xf numFmtId="0" fontId="0" fillId="6" borderId="38" xfId="0" applyFill="1" applyBorder="1" applyAlignment="1">
      <alignment vertical="center"/>
    </xf>
    <xf numFmtId="0" fontId="0" fillId="0" borderId="37" xfId="0" applyBorder="1" applyAlignment="1">
      <alignment horizontal="right" vertical="center"/>
    </xf>
    <xf numFmtId="0" fontId="0" fillId="0" borderId="38" xfId="0" applyBorder="1" applyAlignment="1">
      <alignment vertical="center"/>
    </xf>
    <xf numFmtId="0" fontId="16" fillId="0" borderId="52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16" fillId="0" borderId="54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44" fontId="0" fillId="0" borderId="57" xfId="2" applyFont="1" applyBorder="1" applyAlignment="1">
      <alignment horizontal="right" vertical="center"/>
    </xf>
    <xf numFmtId="0" fontId="0" fillId="0" borderId="58" xfId="0" applyBorder="1" applyAlignment="1">
      <alignment horizontal="center" vertical="center"/>
    </xf>
    <xf numFmtId="44" fontId="0" fillId="0" borderId="59" xfId="2" applyFont="1" applyBorder="1" applyAlignment="1">
      <alignment horizontal="right" vertical="center"/>
    </xf>
    <xf numFmtId="44" fontId="0" fillId="0" borderId="0" xfId="2" applyFont="1" applyBorder="1" applyAlignment="1">
      <alignment horizontal="right" vertical="center"/>
    </xf>
    <xf numFmtId="44" fontId="0" fillId="0" borderId="0" xfId="2" applyFont="1" applyFill="1" applyBorder="1" applyAlignment="1">
      <alignment horizontal="right" vertical="center"/>
    </xf>
    <xf numFmtId="0" fontId="0" fillId="0" borderId="60" xfId="0" applyBorder="1" applyAlignment="1">
      <alignment horizontal="center" vertical="center"/>
    </xf>
    <xf numFmtId="0" fontId="0" fillId="0" borderId="62" xfId="0" applyBorder="1"/>
    <xf numFmtId="0" fontId="0" fillId="0" borderId="63" xfId="0" applyBorder="1" applyAlignment="1">
      <alignment horizontal="center" vertical="center"/>
    </xf>
    <xf numFmtId="44" fontId="0" fillId="0" borderId="64" xfId="2" applyFont="1" applyBorder="1" applyAlignment="1">
      <alignment horizontal="right" vertical="center"/>
    </xf>
    <xf numFmtId="44" fontId="0" fillId="0" borderId="32" xfId="2" applyFont="1" applyBorder="1" applyAlignment="1">
      <alignment vertical="center"/>
    </xf>
    <xf numFmtId="44" fontId="0" fillId="0" borderId="34" xfId="2" applyFont="1" applyBorder="1" applyAlignment="1">
      <alignment vertical="center"/>
    </xf>
    <xf numFmtId="0" fontId="0" fillId="0" borderId="35" xfId="0" applyBorder="1" applyAlignment="1">
      <alignment vertical="center"/>
    </xf>
    <xf numFmtId="44" fontId="0" fillId="0" borderId="36" xfId="0" applyNumberFormat="1" applyBorder="1" applyAlignment="1">
      <alignment vertical="center"/>
    </xf>
    <xf numFmtId="0" fontId="0" fillId="0" borderId="37" xfId="0" applyBorder="1" applyAlignment="1">
      <alignment vertical="center"/>
    </xf>
    <xf numFmtId="44" fontId="0" fillId="0" borderId="39" xfId="0" applyNumberFormat="1" applyBorder="1" applyAlignment="1">
      <alignment vertical="center"/>
    </xf>
    <xf numFmtId="0" fontId="18" fillId="0" borderId="0" xfId="0" applyFont="1" applyAlignment="1">
      <alignment horizontal="right"/>
    </xf>
    <xf numFmtId="0" fontId="0" fillId="0" borderId="65" xfId="0" applyBorder="1" applyAlignment="1">
      <alignment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20" fillId="0" borderId="0" xfId="0" applyFont="1"/>
    <xf numFmtId="0" fontId="10" fillId="2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10" fillId="5" borderId="40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10" fillId="5" borderId="82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5" fillId="5" borderId="1" xfId="0" applyFont="1" applyFill="1" applyBorder="1" applyAlignment="1">
      <alignment horizontal="center" vertical="center"/>
    </xf>
    <xf numFmtId="0" fontId="25" fillId="5" borderId="40" xfId="0" applyFont="1" applyFill="1" applyBorder="1" applyAlignment="1">
      <alignment horizontal="center" vertical="center"/>
    </xf>
    <xf numFmtId="0" fontId="10" fillId="5" borderId="83" xfId="0" applyFont="1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5" borderId="32" xfId="0" applyFill="1" applyBorder="1" applyAlignment="1">
      <alignment vertical="center"/>
    </xf>
    <xf numFmtId="0" fontId="0" fillId="5" borderId="34" xfId="0" applyFill="1" applyBorder="1" applyAlignment="1">
      <alignment vertical="center"/>
    </xf>
    <xf numFmtId="0" fontId="0" fillId="5" borderId="14" xfId="0" applyFill="1" applyBorder="1" applyAlignment="1">
      <alignment vertical="center"/>
    </xf>
    <xf numFmtId="0" fontId="0" fillId="5" borderId="23" xfId="0" applyFill="1" applyBorder="1" applyAlignment="1">
      <alignment vertical="center"/>
    </xf>
    <xf numFmtId="0" fontId="0" fillId="2" borderId="14" xfId="0" applyFill="1" applyBorder="1" applyAlignment="1">
      <alignment vertical="center"/>
    </xf>
    <xf numFmtId="0" fontId="0" fillId="2" borderId="23" xfId="0" applyFill="1" applyBorder="1" applyAlignment="1">
      <alignment vertical="center"/>
    </xf>
    <xf numFmtId="0" fontId="0" fillId="5" borderId="22" xfId="0" applyFill="1" applyBorder="1" applyAlignment="1">
      <alignment vertical="center"/>
    </xf>
    <xf numFmtId="0" fontId="0" fillId="5" borderId="37" xfId="0" applyFill="1" applyBorder="1" applyAlignment="1">
      <alignment vertical="center"/>
    </xf>
    <xf numFmtId="0" fontId="0" fillId="5" borderId="39" xfId="0" applyFill="1" applyBorder="1" applyAlignment="1">
      <alignment vertical="center"/>
    </xf>
    <xf numFmtId="0" fontId="0" fillId="5" borderId="1" xfId="0" applyFill="1" applyBorder="1" applyAlignment="1">
      <alignment vertical="center"/>
    </xf>
    <xf numFmtId="175" fontId="10" fillId="2" borderId="1" xfId="0" applyNumberFormat="1" applyFont="1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10" fillId="0" borderId="0" xfId="0" applyFont="1"/>
    <xf numFmtId="0" fontId="11" fillId="2" borderId="1" xfId="0" applyFont="1" applyFill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top"/>
    </xf>
    <xf numFmtId="0" fontId="10" fillId="0" borderId="0" xfId="0" applyFont="1" applyAlignment="1">
      <alignment horizontal="center" vertical="center"/>
    </xf>
    <xf numFmtId="2" fontId="11" fillId="0" borderId="23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9" fillId="0" borderId="0" xfId="0" applyFont="1" applyAlignment="1">
      <alignment horizontal="right"/>
    </xf>
    <xf numFmtId="0" fontId="11" fillId="0" borderId="0" xfId="0" applyFont="1"/>
    <xf numFmtId="0" fontId="0" fillId="0" borderId="84" xfId="0" applyBorder="1"/>
    <xf numFmtId="0" fontId="20" fillId="0" borderId="85" xfId="0" applyFont="1" applyBorder="1" applyAlignment="1">
      <alignment horizontal="right"/>
    </xf>
    <xf numFmtId="0" fontId="5" fillId="0" borderId="86" xfId="0" applyFont="1" applyBorder="1" applyAlignment="1">
      <alignment horizontal="right"/>
    </xf>
    <xf numFmtId="0" fontId="31" fillId="0" borderId="0" xfId="0" applyFont="1" applyAlignment="1">
      <alignment horizontal="left"/>
    </xf>
    <xf numFmtId="0" fontId="32" fillId="0" borderId="1" xfId="0" applyFont="1" applyBorder="1" applyAlignment="1">
      <alignment horizontal="right"/>
    </xf>
    <xf numFmtId="0" fontId="0" fillId="0" borderId="87" xfId="0" applyBorder="1"/>
    <xf numFmtId="0" fontId="32" fillId="0" borderId="0" xfId="0" applyFont="1" applyAlignment="1">
      <alignment horizontal="right"/>
    </xf>
    <xf numFmtId="0" fontId="5" fillId="0" borderId="88" xfId="0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0" fillId="0" borderId="89" xfId="0" applyBorder="1"/>
    <xf numFmtId="0" fontId="32" fillId="0" borderId="90" xfId="0" applyFont="1" applyBorder="1" applyAlignment="1">
      <alignment horizontal="right"/>
    </xf>
    <xf numFmtId="0" fontId="5" fillId="0" borderId="91" xfId="0" applyFont="1" applyBorder="1" applyAlignment="1">
      <alignment horizontal="right"/>
    </xf>
    <xf numFmtId="0" fontId="17" fillId="0" borderId="0" xfId="0" applyFont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4" fillId="0" borderId="1" xfId="0" applyFont="1" applyBorder="1" applyAlignment="1">
      <alignment horizontal="right"/>
    </xf>
    <xf numFmtId="176" fontId="5" fillId="0" borderId="1" xfId="0" applyNumberFormat="1" applyFont="1" applyBorder="1" applyAlignment="1">
      <alignment horizontal="right" vertical="center"/>
    </xf>
    <xf numFmtId="176" fontId="0" fillId="0" borderId="0" xfId="0" applyNumberFormat="1"/>
    <xf numFmtId="2" fontId="0" fillId="0" borderId="0" xfId="0" applyNumberFormat="1"/>
    <xf numFmtId="177" fontId="0" fillId="0" borderId="0" xfId="0" applyNumberFormat="1"/>
    <xf numFmtId="0" fontId="5" fillId="2" borderId="0" xfId="0" applyFont="1" applyFill="1" applyAlignment="1">
      <alignment horizontal="center" vertical="center"/>
    </xf>
    <xf numFmtId="0" fontId="5" fillId="9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175" fontId="0" fillId="0" borderId="0" xfId="0" applyNumberFormat="1" applyAlignment="1">
      <alignment horizontal="left" vertical="center"/>
    </xf>
    <xf numFmtId="178" fontId="10" fillId="2" borderId="82" xfId="0" applyNumberFormat="1" applyFont="1" applyFill="1" applyBorder="1" applyAlignment="1">
      <alignment horizontal="center" vertical="center"/>
    </xf>
    <xf numFmtId="178" fontId="10" fillId="2" borderId="41" xfId="0" applyNumberFormat="1" applyFont="1" applyFill="1" applyBorder="1" applyAlignment="1">
      <alignment horizontal="center" vertical="center"/>
    </xf>
    <xf numFmtId="178" fontId="10" fillId="2" borderId="40" xfId="0" applyNumberFormat="1" applyFont="1" applyFill="1" applyBorder="1" applyAlignment="1">
      <alignment horizontal="center" vertical="center"/>
    </xf>
    <xf numFmtId="178" fontId="10" fillId="2" borderId="1" xfId="0" applyNumberFormat="1" applyFont="1" applyFill="1" applyBorder="1" applyAlignment="1">
      <alignment horizontal="center" vertical="center"/>
    </xf>
    <xf numFmtId="1" fontId="0" fillId="0" borderId="0" xfId="0" applyNumberFormat="1"/>
    <xf numFmtId="174" fontId="0" fillId="0" borderId="0" xfId="0" applyNumberFormat="1"/>
    <xf numFmtId="0" fontId="0" fillId="0" borderId="92" xfId="0" applyBorder="1"/>
    <xf numFmtId="0" fontId="0" fillId="0" borderId="95" xfId="0" applyBorder="1"/>
    <xf numFmtId="0" fontId="0" fillId="0" borderId="96" xfId="0" applyBorder="1"/>
    <xf numFmtId="0" fontId="0" fillId="0" borderId="35" xfId="0" applyBorder="1"/>
    <xf numFmtId="9" fontId="0" fillId="0" borderId="93" xfId="3" applyFont="1" applyBorder="1"/>
    <xf numFmtId="9" fontId="0" fillId="0" borderId="94" xfId="3" applyFont="1" applyBorder="1"/>
    <xf numFmtId="9" fontId="0" fillId="0" borderId="0" xfId="3" applyFont="1" applyBorder="1"/>
    <xf numFmtId="9" fontId="0" fillId="0" borderId="96" xfId="3" applyFont="1" applyBorder="1"/>
    <xf numFmtId="9" fontId="0" fillId="0" borderId="61" xfId="3" applyFont="1" applyBorder="1"/>
    <xf numFmtId="9" fontId="0" fillId="0" borderId="81" xfId="3" applyFont="1" applyBorder="1"/>
    <xf numFmtId="0" fontId="0" fillId="0" borderId="60" xfId="0" applyBorder="1"/>
    <xf numFmtId="2" fontId="11" fillId="0" borderId="0" xfId="0" applyNumberFormat="1" applyFont="1" applyAlignment="1">
      <alignment horizontal="center" vertical="top"/>
    </xf>
    <xf numFmtId="175" fontId="5" fillId="10" borderId="0" xfId="0" applyNumberFormat="1" applyFont="1" applyFill="1" applyAlignment="1">
      <alignment horizontal="center" vertical="center"/>
    </xf>
    <xf numFmtId="170" fontId="0" fillId="0" borderId="0" xfId="0" applyNumberFormat="1"/>
    <xf numFmtId="174" fontId="0" fillId="0" borderId="95" xfId="0" applyNumberFormat="1" applyBorder="1"/>
    <xf numFmtId="9" fontId="0" fillId="0" borderId="92" xfId="3" applyFont="1" applyBorder="1"/>
    <xf numFmtId="9" fontId="0" fillId="0" borderId="95" xfId="3" applyFont="1" applyBorder="1"/>
    <xf numFmtId="9" fontId="0" fillId="0" borderId="60" xfId="3" applyFont="1" applyBorder="1"/>
    <xf numFmtId="0" fontId="27" fillId="0" borderId="0" xfId="0" applyFont="1"/>
    <xf numFmtId="179" fontId="0" fillId="0" borderId="0" xfId="0" applyNumberFormat="1"/>
    <xf numFmtId="0" fontId="0" fillId="0" borderId="0" xfId="0" quotePrefix="1"/>
    <xf numFmtId="178" fontId="11" fillId="0" borderId="1" xfId="0" applyNumberFormat="1" applyFont="1" applyBorder="1" applyAlignment="1">
      <alignment horizontal="center" vertical="center"/>
    </xf>
    <xf numFmtId="0" fontId="0" fillId="0" borderId="37" xfId="0" applyBorder="1"/>
    <xf numFmtId="0" fontId="0" fillId="0" borderId="39" xfId="0" applyBorder="1"/>
    <xf numFmtId="0" fontId="0" fillId="0" borderId="40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11" borderId="14" xfId="0" applyFill="1" applyBorder="1"/>
    <xf numFmtId="0" fontId="0" fillId="11" borderId="22" xfId="0" applyFill="1" applyBorder="1"/>
    <xf numFmtId="0" fontId="0" fillId="11" borderId="23" xfId="0" applyFill="1" applyBorder="1"/>
    <xf numFmtId="0" fontId="0" fillId="11" borderId="1" xfId="0" applyFill="1" applyBorder="1" applyAlignment="1">
      <alignment horizontal="center" vertical="center"/>
    </xf>
    <xf numFmtId="170" fontId="0" fillId="0" borderId="35" xfId="0" applyNumberFormat="1" applyBorder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0" fontId="3" fillId="0" borderId="40" xfId="0" applyFont="1" applyBorder="1"/>
    <xf numFmtId="0" fontId="3" fillId="0" borderId="42" xfId="0" applyFont="1" applyBorder="1"/>
    <xf numFmtId="0" fontId="3" fillId="0" borderId="41" xfId="0" applyFont="1" applyBorder="1"/>
    <xf numFmtId="0" fontId="0" fillId="0" borderId="33" xfId="0" applyBorder="1" applyAlignment="1">
      <alignment horizontal="center" vertical="center"/>
    </xf>
    <xf numFmtId="170" fontId="0" fillId="0" borderId="32" xfId="0" applyNumberFormat="1" applyBorder="1" applyAlignment="1">
      <alignment horizontal="center" vertical="center"/>
    </xf>
    <xf numFmtId="170" fontId="0" fillId="0" borderId="37" xfId="0" applyNumberFormat="1" applyBorder="1" applyAlignment="1">
      <alignment horizontal="center" vertical="center"/>
    </xf>
    <xf numFmtId="181" fontId="0" fillId="0" borderId="33" xfId="0" applyNumberFormat="1" applyBorder="1" applyAlignment="1">
      <alignment horizontal="center" vertical="center"/>
    </xf>
    <xf numFmtId="181" fontId="0" fillId="0" borderId="38" xfId="0" applyNumberFormat="1" applyBorder="1" applyAlignment="1">
      <alignment horizontal="center" vertical="center"/>
    </xf>
    <xf numFmtId="0" fontId="0" fillId="12" borderId="14" xfId="0" applyFill="1" applyBorder="1" applyAlignment="1">
      <alignment vertical="center"/>
    </xf>
    <xf numFmtId="0" fontId="0" fillId="12" borderId="32" xfId="0" applyFill="1" applyBorder="1" applyAlignment="1">
      <alignment horizontal="center" vertical="center"/>
    </xf>
    <xf numFmtId="0" fontId="0" fillId="12" borderId="22" xfId="0" applyFill="1" applyBorder="1" applyAlignment="1">
      <alignment horizontal="center" vertical="center"/>
    </xf>
    <xf numFmtId="0" fontId="0" fillId="12" borderId="33" xfId="0" applyFill="1" applyBorder="1" applyAlignment="1">
      <alignment horizontal="center" vertical="center"/>
    </xf>
    <xf numFmtId="0" fontId="0" fillId="12" borderId="34" xfId="0" applyFill="1" applyBorder="1" applyAlignment="1">
      <alignment horizontal="center" vertical="center"/>
    </xf>
    <xf numFmtId="0" fontId="0" fillId="12" borderId="32" xfId="0" applyFill="1" applyBorder="1" applyAlignment="1">
      <alignment vertical="center"/>
    </xf>
    <xf numFmtId="170" fontId="0" fillId="12" borderId="32" xfId="0" applyNumberFormat="1" applyFill="1" applyBorder="1" applyAlignment="1">
      <alignment horizontal="center" vertical="center"/>
    </xf>
    <xf numFmtId="181" fontId="0" fillId="12" borderId="33" xfId="0" applyNumberFormat="1" applyFill="1" applyBorder="1" applyAlignment="1">
      <alignment horizontal="center" vertical="center"/>
    </xf>
    <xf numFmtId="0" fontId="0" fillId="12" borderId="35" xfId="0" applyFill="1" applyBorder="1" applyAlignment="1">
      <alignment vertical="center"/>
    </xf>
    <xf numFmtId="170" fontId="0" fillId="12" borderId="35" xfId="0" applyNumberFormat="1" applyFill="1" applyBorder="1" applyAlignment="1">
      <alignment horizontal="center" vertical="center"/>
    </xf>
    <xf numFmtId="181" fontId="0" fillId="12" borderId="0" xfId="0" applyNumberForma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12" borderId="36" xfId="0" applyFill="1" applyBorder="1" applyAlignment="1">
      <alignment horizontal="center" vertical="center"/>
    </xf>
    <xf numFmtId="0" fontId="0" fillId="12" borderId="37" xfId="0" applyFill="1" applyBorder="1" applyAlignment="1">
      <alignment vertical="center"/>
    </xf>
    <xf numFmtId="170" fontId="0" fillId="12" borderId="37" xfId="0" applyNumberFormat="1" applyFill="1" applyBorder="1" applyAlignment="1">
      <alignment horizontal="center" vertical="center"/>
    </xf>
    <xf numFmtId="181" fontId="0" fillId="12" borderId="38" xfId="0" applyNumberFormat="1" applyFill="1" applyBorder="1" applyAlignment="1">
      <alignment horizontal="center" vertical="center"/>
    </xf>
    <xf numFmtId="0" fontId="0" fillId="12" borderId="38" xfId="0" applyFill="1" applyBorder="1" applyAlignment="1">
      <alignment horizontal="center" vertical="center"/>
    </xf>
    <xf numFmtId="0" fontId="0" fillId="12" borderId="39" xfId="0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38" fillId="0" borderId="0" xfId="0" applyFont="1"/>
    <xf numFmtId="0" fontId="16" fillId="0" borderId="97" xfId="0" applyFont="1" applyBorder="1" applyAlignment="1">
      <alignment horizontal="left" vertical="center"/>
    </xf>
    <xf numFmtId="0" fontId="0" fillId="0" borderId="98" xfId="0" applyBorder="1" applyAlignment="1">
      <alignment horizontal="left" vertical="center"/>
    </xf>
    <xf numFmtId="0" fontId="0" fillId="0" borderId="99" xfId="0" applyBorder="1" applyAlignment="1">
      <alignment horizontal="left" vertical="center"/>
    </xf>
    <xf numFmtId="0" fontId="40" fillId="0" borderId="0" xfId="0" applyFont="1" applyAlignment="1">
      <alignment horizontal="right"/>
    </xf>
    <xf numFmtId="170" fontId="0" fillId="0" borderId="31" xfId="0" applyNumberFormat="1" applyBorder="1" applyAlignment="1">
      <alignment horizontal="right"/>
    </xf>
    <xf numFmtId="0" fontId="0" fillId="2" borderId="45" xfId="0" applyFill="1" applyBorder="1" applyAlignment="1" applyProtection="1">
      <alignment horizontal="left" vertical="center"/>
      <protection locked="0"/>
    </xf>
    <xf numFmtId="0" fontId="0" fillId="2" borderId="33" xfId="0" applyFill="1" applyBorder="1" applyAlignment="1" applyProtection="1">
      <alignment horizontal="left" vertical="center"/>
      <protection locked="0"/>
    </xf>
    <xf numFmtId="0" fontId="0" fillId="2" borderId="0" xfId="0" applyFill="1" applyAlignment="1" applyProtection="1">
      <alignment horizontal="left" vertical="center"/>
      <protection locked="0"/>
    </xf>
    <xf numFmtId="0" fontId="0" fillId="2" borderId="47" xfId="0" applyFill="1" applyBorder="1" applyAlignment="1" applyProtection="1">
      <alignment horizontal="left" vertical="center"/>
      <protection locked="0"/>
    </xf>
    <xf numFmtId="0" fontId="20" fillId="0" borderId="0" xfId="0" applyFont="1" applyAlignment="1">
      <alignment horizontal="right"/>
    </xf>
    <xf numFmtId="174" fontId="0" fillId="0" borderId="33" xfId="0" applyNumberFormat="1" applyBorder="1"/>
    <xf numFmtId="174" fontId="0" fillId="0" borderId="38" xfId="0" applyNumberFormat="1" applyBorder="1"/>
    <xf numFmtId="180" fontId="0" fillId="14" borderId="33" xfId="0" applyNumberFormat="1" applyFill="1" applyBorder="1"/>
    <xf numFmtId="180" fontId="0" fillId="14" borderId="0" xfId="0" applyNumberFormat="1" applyFill="1"/>
    <xf numFmtId="180" fontId="0" fillId="14" borderId="38" xfId="0" applyNumberFormat="1" applyFill="1" applyBorder="1"/>
    <xf numFmtId="0" fontId="0" fillId="5" borderId="40" xfId="0" applyFill="1" applyBorder="1"/>
    <xf numFmtId="0" fontId="0" fillId="5" borderId="42" xfId="0" applyFill="1" applyBorder="1"/>
    <xf numFmtId="0" fontId="0" fillId="5" borderId="41" xfId="0" applyFill="1" applyBorder="1"/>
    <xf numFmtId="180" fontId="0" fillId="0" borderId="32" xfId="0" applyNumberFormat="1" applyBorder="1"/>
    <xf numFmtId="174" fontId="0" fillId="0" borderId="34" xfId="0" applyNumberFormat="1" applyBorder="1"/>
    <xf numFmtId="180" fontId="0" fillId="0" borderId="35" xfId="0" applyNumberFormat="1" applyBorder="1"/>
    <xf numFmtId="174" fontId="0" fillId="0" borderId="36" xfId="0" applyNumberFormat="1" applyBorder="1"/>
    <xf numFmtId="180" fontId="0" fillId="0" borderId="37" xfId="0" applyNumberFormat="1" applyBorder="1"/>
    <xf numFmtId="174" fontId="0" fillId="0" borderId="39" xfId="0" applyNumberFormat="1" applyBorder="1"/>
    <xf numFmtId="0" fontId="0" fillId="13" borderId="22" xfId="0" applyFill="1" applyBorder="1"/>
    <xf numFmtId="180" fontId="0" fillId="0" borderId="14" xfId="0" applyNumberFormat="1" applyBorder="1"/>
    <xf numFmtId="0" fontId="44" fillId="0" borderId="100" xfId="4"/>
    <xf numFmtId="0" fontId="27" fillId="0" borderId="1" xfId="0" applyFont="1" applyBorder="1"/>
    <xf numFmtId="0" fontId="0" fillId="0" borderId="1" xfId="0" applyBorder="1" applyAlignment="1">
      <alignment horizontal="left"/>
    </xf>
    <xf numFmtId="179" fontId="0" fillId="0" borderId="1" xfId="0" applyNumberFormat="1" applyBorder="1"/>
    <xf numFmtId="0" fontId="0" fillId="8" borderId="1" xfId="0" applyFill="1" applyBorder="1" applyAlignment="1">
      <alignment horizontal="left"/>
    </xf>
    <xf numFmtId="179" fontId="5" fillId="8" borderId="1" xfId="0" applyNumberFormat="1" applyFont="1" applyFill="1" applyBorder="1"/>
    <xf numFmtId="182" fontId="0" fillId="0" borderId="0" xfId="0" applyNumberFormat="1" applyAlignment="1">
      <alignment horizontal="left"/>
    </xf>
    <xf numFmtId="183" fontId="0" fillId="0" borderId="0" xfId="0" applyNumberFormat="1" applyAlignment="1">
      <alignment horizontal="left"/>
    </xf>
    <xf numFmtId="0" fontId="27" fillId="0" borderId="1" xfId="0" applyFont="1" applyBorder="1" applyAlignment="1">
      <alignment horizontal="right" vertical="center"/>
    </xf>
    <xf numFmtId="0" fontId="45" fillId="0" borderId="101" xfId="5"/>
    <xf numFmtId="0" fontId="45" fillId="0" borderId="101" xfId="5" applyFill="1"/>
    <xf numFmtId="184" fontId="0" fillId="0" borderId="40" xfId="0" applyNumberFormat="1" applyBorder="1"/>
    <xf numFmtId="185" fontId="0" fillId="0" borderId="14" xfId="0" applyNumberFormat="1" applyBorder="1"/>
    <xf numFmtId="184" fontId="0" fillId="0" borderId="41" xfId="0" applyNumberFormat="1" applyBorder="1"/>
    <xf numFmtId="184" fontId="0" fillId="0" borderId="42" xfId="0" applyNumberFormat="1" applyBorder="1"/>
    <xf numFmtId="184" fontId="0" fillId="0" borderId="1" xfId="0" applyNumberFormat="1" applyBorder="1"/>
    <xf numFmtId="0" fontId="0" fillId="13" borderId="40" xfId="0" applyFill="1" applyBorder="1"/>
    <xf numFmtId="0" fontId="0" fillId="13" borderId="42" xfId="0" applyFill="1" applyBorder="1"/>
    <xf numFmtId="0" fontId="0" fillId="13" borderId="41" xfId="0" applyFill="1" applyBorder="1"/>
    <xf numFmtId="0" fontId="0" fillId="13" borderId="1" xfId="0" applyFill="1" applyBorder="1"/>
    <xf numFmtId="186" fontId="0" fillId="2" borderId="0" xfId="0" applyNumberFormat="1" applyFill="1" applyProtection="1">
      <protection locked="0"/>
    </xf>
    <xf numFmtId="186" fontId="3" fillId="2" borderId="0" xfId="0" applyNumberFormat="1" applyFont="1" applyFill="1" applyProtection="1">
      <protection locked="0"/>
    </xf>
    <xf numFmtId="0" fontId="0" fillId="2" borderId="102" xfId="0" applyFill="1" applyBorder="1" applyAlignment="1">
      <alignment vertical="center"/>
    </xf>
    <xf numFmtId="0" fontId="0" fillId="2" borderId="103" xfId="0" applyFill="1" applyBorder="1" applyAlignment="1">
      <alignment vertical="center"/>
    </xf>
    <xf numFmtId="0" fontId="0" fillId="2" borderId="104" xfId="0" applyFill="1" applyBorder="1" applyAlignment="1">
      <alignment horizontal="center" vertical="center"/>
    </xf>
    <xf numFmtId="0" fontId="0" fillId="2" borderId="105" xfId="0" applyFill="1" applyBorder="1" applyAlignment="1">
      <alignment vertical="center"/>
    </xf>
    <xf numFmtId="0" fontId="0" fillId="2" borderId="106" xfId="0" applyFill="1" applyBorder="1" applyAlignment="1">
      <alignment horizontal="center" vertical="center"/>
    </xf>
    <xf numFmtId="0" fontId="25" fillId="2" borderId="107" xfId="0" applyFont="1" applyFill="1" applyBorder="1" applyAlignment="1">
      <alignment horizontal="center" vertical="center"/>
    </xf>
    <xf numFmtId="0" fontId="25" fillId="2" borderId="108" xfId="0" applyFont="1" applyFill="1" applyBorder="1" applyAlignment="1">
      <alignment horizontal="center" vertical="center"/>
    </xf>
    <xf numFmtId="0" fontId="0" fillId="2" borderId="65" xfId="0" applyFill="1" applyBorder="1" applyAlignment="1">
      <alignment horizontal="center" vertical="center"/>
    </xf>
    <xf numFmtId="0" fontId="0" fillId="2" borderId="102" xfId="0" applyFill="1" applyBorder="1" applyAlignment="1">
      <alignment horizontal="center" vertical="center"/>
    </xf>
    <xf numFmtId="0" fontId="0" fillId="2" borderId="109" xfId="0" applyFill="1" applyBorder="1" applyAlignment="1">
      <alignment vertical="center"/>
    </xf>
    <xf numFmtId="0" fontId="0" fillId="2" borderId="65" xfId="0" applyFill="1" applyBorder="1" applyAlignment="1">
      <alignment vertical="center"/>
    </xf>
    <xf numFmtId="0" fontId="0" fillId="2" borderId="104" xfId="0" applyFill="1" applyBorder="1" applyAlignment="1">
      <alignment vertical="center"/>
    </xf>
    <xf numFmtId="0" fontId="0" fillId="2" borderId="105" xfId="0" applyFill="1" applyBorder="1" applyAlignment="1">
      <alignment horizontal="center" vertical="center"/>
    </xf>
    <xf numFmtId="0" fontId="47" fillId="12" borderId="14" xfId="0" applyFont="1" applyFill="1" applyBorder="1" applyAlignment="1">
      <alignment horizontal="center"/>
    </xf>
    <xf numFmtId="0" fontId="47" fillId="12" borderId="1" xfId="0" applyFont="1" applyFill="1" applyBorder="1" applyAlignment="1">
      <alignment horizontal="center"/>
    </xf>
    <xf numFmtId="187" fontId="0" fillId="0" borderId="1" xfId="0" applyNumberFormat="1" applyBorder="1" applyAlignment="1">
      <alignment horizontal="center"/>
    </xf>
    <xf numFmtId="187" fontId="0" fillId="0" borderId="41" xfId="0" applyNumberFormat="1" applyBorder="1" applyAlignment="1">
      <alignment horizontal="center"/>
    </xf>
    <xf numFmtId="187" fontId="0" fillId="0" borderId="36" xfId="0" applyNumberFormat="1" applyBorder="1"/>
    <xf numFmtId="187" fontId="0" fillId="0" borderId="39" xfId="0" applyNumberFormat="1" applyBorder="1"/>
    <xf numFmtId="0" fontId="46" fillId="0" borderId="110" xfId="6"/>
    <xf numFmtId="0" fontId="46" fillId="0" borderId="110" xfId="6" applyFill="1"/>
    <xf numFmtId="0" fontId="0" fillId="0" borderId="111" xfId="0" applyBorder="1"/>
    <xf numFmtId="0" fontId="0" fillId="0" borderId="112" xfId="0" applyBorder="1"/>
    <xf numFmtId="0" fontId="0" fillId="0" borderId="113" xfId="0" applyBorder="1"/>
    <xf numFmtId="0" fontId="0" fillId="0" borderId="114" xfId="0" applyBorder="1"/>
    <xf numFmtId="0" fontId="0" fillId="0" borderId="115" xfId="0" applyBorder="1"/>
    <xf numFmtId="0" fontId="0" fillId="0" borderId="116" xfId="0" applyBorder="1"/>
    <xf numFmtId="0" fontId="0" fillId="0" borderId="117" xfId="0" applyBorder="1"/>
    <xf numFmtId="0" fontId="0" fillId="0" borderId="118" xfId="0" applyBorder="1"/>
    <xf numFmtId="0" fontId="0" fillId="0" borderId="119" xfId="0" applyBorder="1"/>
    <xf numFmtId="0" fontId="0" fillId="0" borderId="120" xfId="0" applyBorder="1"/>
    <xf numFmtId="0" fontId="0" fillId="0" borderId="121" xfId="0" applyBorder="1"/>
    <xf numFmtId="0" fontId="0" fillId="0" borderId="122" xfId="0" applyBorder="1"/>
    <xf numFmtId="0" fontId="0" fillId="0" borderId="123" xfId="0" applyBorder="1"/>
    <xf numFmtId="0" fontId="0" fillId="0" borderId="124" xfId="0" applyBorder="1"/>
    <xf numFmtId="0" fontId="0" fillId="0" borderId="125" xfId="0" applyBorder="1"/>
    <xf numFmtId="0" fontId="0" fillId="0" borderId="126" xfId="0" applyBorder="1"/>
    <xf numFmtId="0" fontId="39" fillId="0" borderId="0" xfId="0" applyFont="1" applyAlignment="1">
      <alignment vertical="center"/>
    </xf>
    <xf numFmtId="0" fontId="41" fillId="0" borderId="0" xfId="0" applyFont="1" applyAlignment="1">
      <alignment horizontal="center"/>
    </xf>
    <xf numFmtId="0" fontId="48" fillId="0" borderId="0" xfId="0" applyFont="1"/>
    <xf numFmtId="0" fontId="46" fillId="0" borderId="110" xfId="6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7" xfId="0" applyBorder="1"/>
    <xf numFmtId="177" fontId="0" fillId="0" borderId="127" xfId="0" applyNumberFormat="1" applyBorder="1" applyAlignment="1">
      <alignment horizontal="center"/>
    </xf>
    <xf numFmtId="177" fontId="0" fillId="0" borderId="127" xfId="0" applyNumberFormat="1" applyBorder="1" applyAlignment="1">
      <alignment horizontal="center" vertical="center"/>
    </xf>
    <xf numFmtId="0" fontId="8" fillId="0" borderId="127" xfId="0" applyFont="1" applyBorder="1" applyAlignment="1">
      <alignment horizontal="right"/>
    </xf>
    <xf numFmtId="177" fontId="0" fillId="0" borderId="127" xfId="0" applyNumberFormat="1" applyBorder="1"/>
    <xf numFmtId="0" fontId="35" fillId="9" borderId="0" xfId="0" applyFont="1" applyFill="1" applyAlignment="1">
      <alignment horizontal="center" vertical="center"/>
    </xf>
    <xf numFmtId="0" fontId="0" fillId="0" borderId="128" xfId="0" applyBorder="1"/>
    <xf numFmtId="177" fontId="0" fillId="0" borderId="129" xfId="0" applyNumberFormat="1" applyBorder="1" applyAlignment="1">
      <alignment horizontal="center"/>
    </xf>
    <xf numFmtId="0" fontId="0" fillId="0" borderId="129" xfId="0" applyBorder="1"/>
    <xf numFmtId="0" fontId="0" fillId="0" borderId="130" xfId="0" applyBorder="1"/>
    <xf numFmtId="177" fontId="0" fillId="0" borderId="131" xfId="0" applyNumberFormat="1" applyBorder="1" applyAlignment="1">
      <alignment horizontal="center"/>
    </xf>
    <xf numFmtId="44" fontId="0" fillId="0" borderId="131" xfId="2" applyFont="1" applyFill="1" applyBorder="1"/>
    <xf numFmtId="0" fontId="0" fillId="0" borderId="127" xfId="0" applyBorder="1" applyAlignment="1">
      <alignment horizontal="center"/>
    </xf>
    <xf numFmtId="177" fontId="0" fillId="0" borderId="129" xfId="0" applyNumberFormat="1" applyBorder="1" applyAlignment="1">
      <alignment horizontal="left"/>
    </xf>
    <xf numFmtId="177" fontId="0" fillId="0" borderId="0" xfId="0" applyNumberFormat="1" applyAlignment="1">
      <alignment horizontal="center"/>
    </xf>
    <xf numFmtId="177" fontId="0" fillId="0" borderId="0" xfId="0" applyNumberFormat="1" applyAlignment="1">
      <alignment horizontal="center" vertical="center"/>
    </xf>
    <xf numFmtId="0" fontId="8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177" fontId="0" fillId="0" borderId="0" xfId="0" applyNumberFormat="1" applyAlignment="1">
      <alignment horizontal="left"/>
    </xf>
    <xf numFmtId="0" fontId="5" fillId="15" borderId="0" xfId="0" applyFont="1" applyFill="1" applyAlignment="1">
      <alignment horizontal="center" vertical="center"/>
    </xf>
    <xf numFmtId="187" fontId="0" fillId="0" borderId="34" xfId="0" applyNumberFormat="1" applyBorder="1"/>
    <xf numFmtId="0" fontId="31" fillId="0" borderId="92" xfId="0" applyFont="1" applyBorder="1"/>
    <xf numFmtId="0" fontId="32" fillId="0" borderId="93" xfId="0" applyFont="1" applyBorder="1"/>
    <xf numFmtId="0" fontId="32" fillId="0" borderId="94" xfId="0" applyFont="1" applyBorder="1"/>
    <xf numFmtId="0" fontId="31" fillId="0" borderId="93" xfId="0" applyFont="1" applyBorder="1"/>
    <xf numFmtId="0" fontId="31" fillId="0" borderId="94" xfId="0" applyFont="1" applyBorder="1"/>
    <xf numFmtId="0" fontId="0" fillId="0" borderId="0" xfId="0" applyAlignment="1">
      <alignment horizontal="right" vertical="center" wrapText="1"/>
    </xf>
    <xf numFmtId="0" fontId="0" fillId="19" borderId="4" xfId="0" applyFill="1" applyBorder="1" applyAlignment="1">
      <alignment horizontal="center" vertical="center"/>
    </xf>
    <xf numFmtId="0" fontId="0" fillId="19" borderId="7" xfId="0" applyFill="1" applyBorder="1" applyAlignment="1">
      <alignment horizontal="center" vertical="center"/>
    </xf>
    <xf numFmtId="0" fontId="0" fillId="19" borderId="0" xfId="0" applyFill="1"/>
    <xf numFmtId="0" fontId="0" fillId="10" borderId="23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0" fillId="14" borderId="22" xfId="0" applyFill="1" applyBorder="1" applyAlignment="1">
      <alignment horizontal="center" vertical="center"/>
    </xf>
    <xf numFmtId="0" fontId="0" fillId="14" borderId="5" xfId="0" applyFill="1" applyBorder="1" applyAlignment="1">
      <alignment horizontal="center" vertical="center"/>
    </xf>
    <xf numFmtId="0" fontId="0" fillId="14" borderId="6" xfId="0" applyFill="1" applyBorder="1" applyAlignment="1">
      <alignment horizontal="center" vertical="center"/>
    </xf>
    <xf numFmtId="0" fontId="0" fillId="14" borderId="8" xfId="0" applyFill="1" applyBorder="1" applyAlignment="1">
      <alignment horizontal="center" vertical="center"/>
    </xf>
    <xf numFmtId="0" fontId="0" fillId="14" borderId="9" xfId="0" applyFill="1" applyBorder="1" applyAlignment="1">
      <alignment horizontal="center" vertical="center"/>
    </xf>
    <xf numFmtId="0" fontId="0" fillId="20" borderId="2" xfId="0" applyFill="1" applyBorder="1" applyAlignment="1">
      <alignment horizontal="center" vertical="center"/>
    </xf>
    <xf numFmtId="0" fontId="0" fillId="20" borderId="5" xfId="0" applyFill="1" applyBorder="1" applyAlignment="1">
      <alignment horizontal="center" vertical="center"/>
    </xf>
    <xf numFmtId="0" fontId="0" fillId="20" borderId="3" xfId="0" applyFill="1" applyBorder="1" applyAlignment="1">
      <alignment horizontal="center" vertical="center"/>
    </xf>
    <xf numFmtId="0" fontId="0" fillId="20" borderId="6" xfId="0" applyFill="1" applyBorder="1" applyAlignment="1">
      <alignment horizontal="center" vertical="center"/>
    </xf>
    <xf numFmtId="0" fontId="52" fillId="18" borderId="0" xfId="0" applyFont="1" applyFill="1"/>
    <xf numFmtId="170" fontId="0" fillId="0" borderId="33" xfId="0" applyNumberFormat="1" applyBorder="1"/>
    <xf numFmtId="167" fontId="0" fillId="0" borderId="0" xfId="0" applyNumberFormat="1"/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1" fontId="0" fillId="0" borderId="2" xfId="0" applyNumberFormat="1" applyBorder="1" applyAlignment="1">
      <alignment horizontal="center" vertical="center"/>
    </xf>
    <xf numFmtId="0" fontId="0" fillId="0" borderId="132" xfId="0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4" borderId="15" xfId="0" applyFill="1" applyBorder="1"/>
    <xf numFmtId="0" fontId="0" fillId="4" borderId="16" xfId="0" applyFill="1" applyBorder="1"/>
    <xf numFmtId="0" fontId="9" fillId="2" borderId="0" xfId="0" applyFont="1" applyFill="1" applyAlignment="1" applyProtection="1">
      <alignment horizontal="center" vertical="center"/>
      <protection locked="0"/>
    </xf>
    <xf numFmtId="0" fontId="50" fillId="17" borderId="1" xfId="0" applyFont="1" applyFill="1" applyBorder="1" applyAlignment="1" applyProtection="1">
      <alignment horizontal="center" vertical="center"/>
      <protection locked="0"/>
    </xf>
    <xf numFmtId="173" fontId="5" fillId="7" borderId="0" xfId="0" applyNumberFormat="1" applyFont="1" applyFill="1"/>
    <xf numFmtId="0" fontId="0" fillId="6" borderId="32" xfId="0" applyFill="1" applyBorder="1" applyAlignment="1">
      <alignment vertical="center"/>
    </xf>
    <xf numFmtId="0" fontId="0" fillId="0" borderId="32" xfId="0" applyBorder="1" applyAlignment="1">
      <alignment horizontal="right" vertical="center"/>
    </xf>
    <xf numFmtId="0" fontId="0" fillId="0" borderId="33" xfId="0" applyBorder="1" applyAlignment="1">
      <alignment vertical="center"/>
    </xf>
    <xf numFmtId="0" fontId="0" fillId="6" borderId="33" xfId="0" applyFill="1" applyBorder="1" applyAlignment="1">
      <alignment vertical="center"/>
    </xf>
    <xf numFmtId="180" fontId="0" fillId="0" borderId="0" xfId="0" applyNumberFormat="1" applyAlignment="1">
      <alignment vertical="center"/>
    </xf>
    <xf numFmtId="0" fontId="0" fillId="0" borderId="34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8" borderId="0" xfId="0" applyFill="1"/>
    <xf numFmtId="0" fontId="54" fillId="0" borderId="0" xfId="0" applyFont="1" applyAlignment="1">
      <alignment horizontal="right"/>
    </xf>
    <xf numFmtId="0" fontId="54" fillId="0" borderId="0" xfId="0" applyFont="1"/>
    <xf numFmtId="0" fontId="54" fillId="0" borderId="0" xfId="0" applyFont="1" applyAlignment="1">
      <alignment horizontal="right" vertical="center"/>
    </xf>
    <xf numFmtId="0" fontId="54" fillId="8" borderId="0" xfId="0" applyFont="1" applyFill="1"/>
    <xf numFmtId="0" fontId="54" fillId="8" borderId="0" xfId="0" applyFont="1" applyFill="1" applyAlignment="1">
      <alignment horizontal="left"/>
    </xf>
    <xf numFmtId="0" fontId="54" fillId="0" borderId="0" xfId="0" applyFont="1" applyAlignment="1">
      <alignment vertical="center"/>
    </xf>
    <xf numFmtId="170" fontId="54" fillId="8" borderId="0" xfId="0" applyNumberFormat="1" applyFont="1" applyFill="1" applyAlignment="1">
      <alignment horizontal="left" vertical="center"/>
    </xf>
    <xf numFmtId="0" fontId="54" fillId="8" borderId="0" xfId="0" applyFont="1" applyFill="1" applyAlignment="1">
      <alignment vertical="center"/>
    </xf>
    <xf numFmtId="0" fontId="0" fillId="8" borderId="0" xfId="0" applyFill="1" applyAlignment="1">
      <alignment vertical="center"/>
    </xf>
    <xf numFmtId="171" fontId="54" fillId="8" borderId="0" xfId="0" applyNumberFormat="1" applyFont="1" applyFill="1" applyAlignment="1">
      <alignment horizontal="left" vertical="center"/>
    </xf>
    <xf numFmtId="188" fontId="54" fillId="8" borderId="0" xfId="0" applyNumberFormat="1" applyFont="1" applyFill="1" applyAlignment="1">
      <alignment horizontal="left" vertical="center"/>
    </xf>
    <xf numFmtId="0" fontId="0" fillId="0" borderId="41" xfId="0" applyBorder="1"/>
    <xf numFmtId="0" fontId="0" fillId="0" borderId="42" xfId="0" applyBorder="1"/>
    <xf numFmtId="14" fontId="55" fillId="0" borderId="0" xfId="0" applyNumberFormat="1" applyFont="1"/>
    <xf numFmtId="0" fontId="0" fillId="21" borderId="14" xfId="0" applyFill="1" applyBorder="1" applyAlignment="1">
      <alignment horizontal="center" vertical="center"/>
    </xf>
    <xf numFmtId="0" fontId="0" fillId="21" borderId="1" xfId="0" applyFill="1" applyBorder="1" applyAlignment="1">
      <alignment horizontal="center" vertical="center"/>
    </xf>
    <xf numFmtId="0" fontId="0" fillId="21" borderId="23" xfId="0" applyFill="1" applyBorder="1" applyAlignment="1">
      <alignment horizontal="center" vertical="center"/>
    </xf>
    <xf numFmtId="170" fontId="0" fillId="0" borderId="42" xfId="0" applyNumberFormat="1" applyBorder="1" applyAlignment="1">
      <alignment horizontal="center" vertical="center"/>
    </xf>
    <xf numFmtId="170" fontId="0" fillId="0" borderId="36" xfId="0" applyNumberFormat="1" applyBorder="1" applyAlignment="1">
      <alignment horizontal="center" vertical="center"/>
    </xf>
    <xf numFmtId="0" fontId="56" fillId="0" borderId="14" xfId="0" applyFont="1" applyBorder="1"/>
    <xf numFmtId="0" fontId="56" fillId="0" borderId="23" xfId="0" applyFont="1" applyBorder="1" applyAlignment="1">
      <alignment horizontal="right"/>
    </xf>
    <xf numFmtId="0" fontId="56" fillId="0" borderId="35" xfId="0" applyFont="1" applyBorder="1"/>
    <xf numFmtId="0" fontId="56" fillId="0" borderId="36" xfId="0" applyFont="1" applyBorder="1" applyAlignment="1">
      <alignment horizontal="right"/>
    </xf>
    <xf numFmtId="0" fontId="56" fillId="0" borderId="37" xfId="0" applyFont="1" applyBorder="1"/>
    <xf numFmtId="0" fontId="56" fillId="0" borderId="39" xfId="0" applyFont="1" applyBorder="1" applyAlignment="1">
      <alignment horizontal="right"/>
    </xf>
    <xf numFmtId="0" fontId="5" fillId="0" borderId="1" xfId="0" applyFont="1" applyBorder="1" applyAlignment="1">
      <alignment vertical="center"/>
    </xf>
    <xf numFmtId="0" fontId="5" fillId="0" borderId="14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0" fillId="0" borderId="35" xfId="0" applyBorder="1" applyAlignment="1">
      <alignment horizontal="left"/>
    </xf>
    <xf numFmtId="0" fontId="57" fillId="0" borderId="0" xfId="0" applyFont="1" applyAlignment="1">
      <alignment horizontal="right"/>
    </xf>
    <xf numFmtId="0" fontId="57" fillId="0" borderId="0" xfId="0" applyFont="1" applyAlignment="1">
      <alignment horizontal="right" vertical="center"/>
    </xf>
    <xf numFmtId="0" fontId="46" fillId="0" borderId="110" xfId="6" applyAlignment="1">
      <alignment horizontal="left"/>
    </xf>
    <xf numFmtId="171" fontId="54" fillId="0" borderId="0" xfId="0" applyNumberFormat="1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191" fontId="12" fillId="21" borderId="0" xfId="0" applyNumberFormat="1" applyFont="1" applyFill="1" applyAlignment="1">
      <alignment horizontal="left" vertical="center"/>
    </xf>
    <xf numFmtId="190" fontId="12" fillId="21" borderId="0" xfId="0" applyNumberFormat="1" applyFont="1" applyFill="1" applyAlignment="1">
      <alignment horizontal="left" vertical="center"/>
    </xf>
    <xf numFmtId="0" fontId="12" fillId="21" borderId="0" xfId="0" applyFont="1" applyFill="1" applyAlignment="1">
      <alignment horizontal="left" vertical="center"/>
    </xf>
    <xf numFmtId="190" fontId="12" fillId="21" borderId="0" xfId="0" applyNumberFormat="1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right"/>
    </xf>
    <xf numFmtId="0" fontId="0" fillId="22" borderId="35" xfId="0" applyFill="1" applyBorder="1" applyAlignment="1">
      <alignment horizontal="right" vertical="center"/>
    </xf>
    <xf numFmtId="0" fontId="0" fillId="22" borderId="0" xfId="0" applyFill="1" applyAlignment="1">
      <alignment horizontal="right" vertical="center"/>
    </xf>
    <xf numFmtId="0" fontId="0" fillId="22" borderId="0" xfId="0" applyFill="1" applyAlignment="1">
      <alignment vertical="center"/>
    </xf>
    <xf numFmtId="0" fontId="0" fillId="22" borderId="0" xfId="0" applyFill="1"/>
    <xf numFmtId="0" fontId="0" fillId="0" borderId="6" xfId="0" applyBorder="1" applyAlignment="1">
      <alignment vertical="center"/>
    </xf>
    <xf numFmtId="0" fontId="0" fillId="0" borderId="33" xfId="0" applyBorder="1" applyAlignment="1">
      <alignment horizontal="right" vertical="center"/>
    </xf>
    <xf numFmtId="0" fontId="0" fillId="0" borderId="38" xfId="0" applyBorder="1" applyAlignment="1">
      <alignment horizontal="right" vertical="center"/>
    </xf>
    <xf numFmtId="0" fontId="0" fillId="0" borderId="133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134" xfId="0" applyBorder="1" applyAlignment="1">
      <alignment vertical="center"/>
    </xf>
    <xf numFmtId="0" fontId="0" fillId="0" borderId="37" xfId="0" applyBorder="1" applyAlignment="1">
      <alignment horizontal="left"/>
    </xf>
    <xf numFmtId="0" fontId="14" fillId="2" borderId="0" xfId="0" applyFont="1" applyFill="1" applyProtection="1">
      <protection locked="0"/>
    </xf>
    <xf numFmtId="0" fontId="15" fillId="2" borderId="0" xfId="0" applyFont="1" applyFill="1" applyProtection="1">
      <protection locked="0"/>
    </xf>
    <xf numFmtId="0" fontId="0" fillId="2" borderId="46" xfId="0" applyFill="1" applyBorder="1" applyAlignment="1" applyProtection="1">
      <alignment horizontal="left" vertical="center"/>
      <protection locked="0"/>
    </xf>
    <xf numFmtId="0" fontId="0" fillId="2" borderId="46" xfId="0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44" fontId="0" fillId="8" borderId="43" xfId="2" applyFont="1" applyFill="1" applyBorder="1" applyAlignment="1" applyProtection="1">
      <alignment horizontal="right" vertical="center"/>
      <protection locked="0"/>
    </xf>
    <xf numFmtId="44" fontId="0" fillId="8" borderId="27" xfId="2" applyFont="1" applyFill="1" applyBorder="1" applyAlignment="1" applyProtection="1">
      <alignment horizontal="right" vertical="center"/>
      <protection locked="0"/>
    </xf>
    <xf numFmtId="44" fontId="0" fillId="8" borderId="61" xfId="2" applyFont="1" applyFill="1" applyBorder="1" applyAlignment="1" applyProtection="1">
      <alignment horizontal="right" vertical="center"/>
      <protection locked="0"/>
    </xf>
    <xf numFmtId="0" fontId="0" fillId="0" borderId="135" xfId="0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0" fillId="0" borderId="137" xfId="0" applyBorder="1" applyAlignment="1">
      <alignment horizontal="center" vertical="center"/>
    </xf>
    <xf numFmtId="0" fontId="0" fillId="5" borderId="132" xfId="0" applyFill="1" applyBorder="1" applyAlignment="1">
      <alignment horizontal="center" vertical="center"/>
    </xf>
    <xf numFmtId="0" fontId="0" fillId="0" borderId="138" xfId="0" applyBorder="1" applyAlignment="1">
      <alignment horizontal="center" vertical="center"/>
    </xf>
    <xf numFmtId="192" fontId="11" fillId="8" borderId="0" xfId="0" applyNumberFormat="1" applyFont="1" applyFill="1"/>
    <xf numFmtId="14" fontId="11" fillId="8" borderId="0" xfId="0" applyNumberFormat="1" applyFont="1" applyFill="1" applyAlignment="1">
      <alignment horizontal="left"/>
    </xf>
    <xf numFmtId="0" fontId="0" fillId="2" borderId="0" xfId="0" applyFill="1" applyAlignment="1" applyProtection="1">
      <alignment vertical="center"/>
      <protection locked="0"/>
    </xf>
    <xf numFmtId="0" fontId="46" fillId="0" borderId="0" xfId="6" applyBorder="1" applyAlignment="1">
      <alignment horizontal="right" vertical="center"/>
    </xf>
    <xf numFmtId="0" fontId="0" fillId="0" borderId="0" xfId="0" applyAlignment="1">
      <alignment vertical="center" wrapText="1"/>
    </xf>
    <xf numFmtId="0" fontId="0" fillId="5" borderId="0" xfId="0" applyFill="1" applyProtection="1">
      <protection locked="0"/>
    </xf>
    <xf numFmtId="0" fontId="0" fillId="5" borderId="0" xfId="0" applyFill="1" applyAlignment="1" applyProtection="1">
      <alignment vertical="center"/>
      <protection locked="0"/>
    </xf>
    <xf numFmtId="170" fontId="0" fillId="4" borderId="15" xfId="0" applyNumberFormat="1" applyFill="1" applyBorder="1"/>
    <xf numFmtId="0" fontId="0" fillId="0" borderId="123" xfId="0" applyBorder="1" applyAlignment="1" applyProtection="1">
      <alignment vertical="center"/>
      <protection locked="0"/>
    </xf>
    <xf numFmtId="0" fontId="0" fillId="0" borderId="1" xfId="0" applyBorder="1" applyAlignment="1">
      <alignment wrapText="1"/>
    </xf>
    <xf numFmtId="0" fontId="6" fillId="0" borderId="0" xfId="1" applyBorder="1" applyAlignment="1">
      <alignment horizontal="left"/>
    </xf>
    <xf numFmtId="193" fontId="0" fillId="5" borderId="0" xfId="0" applyNumberFormat="1" applyFill="1" applyAlignment="1" applyProtection="1">
      <alignment horizontal="left"/>
      <protection locked="0"/>
    </xf>
    <xf numFmtId="0" fontId="17" fillId="23" borderId="0" xfId="0" applyFont="1" applyFill="1" applyAlignment="1">
      <alignment horizontal="center" vertical="center"/>
    </xf>
    <xf numFmtId="0" fontId="35" fillId="23" borderId="0" xfId="0" applyFont="1" applyFill="1" applyAlignment="1">
      <alignment horizontal="center" vertical="center"/>
    </xf>
    <xf numFmtId="0" fontId="0" fillId="23" borderId="0" xfId="0" applyFill="1" applyAlignment="1">
      <alignment horizontal="center" vertical="center"/>
    </xf>
    <xf numFmtId="0" fontId="5" fillId="23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5" fillId="7" borderId="0" xfId="0" applyFont="1" applyFill="1" applyAlignment="1">
      <alignment horizontal="center"/>
    </xf>
    <xf numFmtId="0" fontId="0" fillId="5" borderId="0" xfId="0" applyFill="1" applyAlignment="1">
      <alignment horizontal="center" vertical="center"/>
    </xf>
    <xf numFmtId="0" fontId="5" fillId="5" borderId="0" xfId="0" applyFont="1" applyFill="1" applyAlignment="1">
      <alignment horizontal="center"/>
    </xf>
    <xf numFmtId="0" fontId="0" fillId="5" borderId="0" xfId="0" applyFill="1" applyAlignment="1" applyProtection="1">
      <alignment horizontal="center" vertical="center"/>
      <protection locked="0"/>
    </xf>
    <xf numFmtId="172" fontId="0" fillId="2" borderId="0" xfId="0" applyNumberFormat="1" applyFill="1" applyAlignment="1" applyProtection="1">
      <alignment horizontal="center" vertical="center"/>
      <protection locked="0"/>
    </xf>
    <xf numFmtId="170" fontId="0" fillId="0" borderId="35" xfId="0" applyNumberFormat="1" applyBorder="1"/>
    <xf numFmtId="170" fontId="0" fillId="0" borderId="37" xfId="0" applyNumberFormat="1" applyBorder="1"/>
    <xf numFmtId="0" fontId="0" fillId="12" borderId="14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194" fontId="0" fillId="0" borderId="40" xfId="0" applyNumberFormat="1" applyBorder="1"/>
    <xf numFmtId="194" fontId="0" fillId="0" borderId="42" xfId="0" applyNumberFormat="1" applyBorder="1"/>
    <xf numFmtId="194" fontId="0" fillId="0" borderId="41" xfId="0" applyNumberFormat="1" applyBorder="1"/>
    <xf numFmtId="174" fontId="35" fillId="25" borderId="0" xfId="0" applyNumberFormat="1" applyFont="1" applyFill="1"/>
    <xf numFmtId="1" fontId="0" fillId="0" borderId="0" xfId="0" applyNumberFormat="1" applyAlignment="1">
      <alignment horizontal="center" vertical="center"/>
    </xf>
    <xf numFmtId="1" fontId="0" fillId="6" borderId="16" xfId="0" applyNumberFormat="1" applyFill="1" applyBorder="1"/>
    <xf numFmtId="2" fontId="24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28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right"/>
    </xf>
    <xf numFmtId="0" fontId="0" fillId="26" borderId="0" xfId="0" applyFill="1" applyAlignment="1">
      <alignment horizontal="center" vertical="center"/>
    </xf>
    <xf numFmtId="0" fontId="5" fillId="26" borderId="0" xfId="0" applyFont="1" applyFill="1" applyAlignment="1">
      <alignment horizontal="center" vertical="center"/>
    </xf>
    <xf numFmtId="0" fontId="61" fillId="0" borderId="0" xfId="5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62" fillId="0" borderId="0" xfId="0" applyFont="1" applyAlignment="1">
      <alignment horizontal="right"/>
    </xf>
    <xf numFmtId="0" fontId="0" fillId="27" borderId="0" xfId="0" applyFill="1" applyAlignment="1">
      <alignment horizontal="center" vertical="center"/>
    </xf>
    <xf numFmtId="2" fontId="0" fillId="0" borderId="33" xfId="0" applyNumberFormat="1" applyBorder="1" applyAlignment="1">
      <alignment horizontal="center" vertical="center"/>
    </xf>
    <xf numFmtId="174" fontId="0" fillId="0" borderId="33" xfId="0" applyNumberFormat="1" applyBorder="1" applyAlignment="1">
      <alignment horizontal="center" vertical="center"/>
    </xf>
    <xf numFmtId="174" fontId="0" fillId="0" borderId="34" xfId="0" applyNumberFormat="1" applyBorder="1" applyAlignment="1">
      <alignment horizontal="center" vertical="center"/>
    </xf>
    <xf numFmtId="174" fontId="0" fillId="0" borderId="0" xfId="0" applyNumberFormat="1" applyAlignment="1">
      <alignment horizontal="center" vertical="center"/>
    </xf>
    <xf numFmtId="174" fontId="0" fillId="0" borderId="36" xfId="0" applyNumberFormat="1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174" fontId="0" fillId="0" borderId="38" xfId="0" applyNumberFormat="1" applyBorder="1" applyAlignment="1">
      <alignment horizontal="center" vertical="center"/>
    </xf>
    <xf numFmtId="174" fontId="0" fillId="0" borderId="39" xfId="0" applyNumberFormat="1" applyBorder="1" applyAlignment="1">
      <alignment horizontal="center" vertical="center"/>
    </xf>
    <xf numFmtId="0" fontId="0" fillId="0" borderId="40" xfId="0" applyBorder="1"/>
    <xf numFmtId="174" fontId="0" fillId="0" borderId="32" xfId="0" applyNumberFormat="1" applyBorder="1" applyAlignment="1">
      <alignment horizontal="center" vertical="center"/>
    </xf>
    <xf numFmtId="174" fontId="0" fillId="0" borderId="35" xfId="0" applyNumberFormat="1" applyBorder="1" applyAlignment="1">
      <alignment horizontal="center" vertical="center"/>
    </xf>
    <xf numFmtId="174" fontId="0" fillId="0" borderId="37" xfId="0" applyNumberFormat="1" applyBorder="1" applyAlignment="1">
      <alignment horizontal="center" vertical="center"/>
    </xf>
    <xf numFmtId="2" fontId="0" fillId="0" borderId="32" xfId="0" applyNumberFormat="1" applyBorder="1" applyAlignment="1">
      <alignment horizontal="center" vertical="center"/>
    </xf>
    <xf numFmtId="2" fontId="0" fillId="0" borderId="34" xfId="0" applyNumberForma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7" xfId="0" applyNumberFormat="1" applyBorder="1" applyAlignment="1">
      <alignment horizontal="center" vertical="center"/>
    </xf>
    <xf numFmtId="2" fontId="0" fillId="0" borderId="39" xfId="0" applyNumberFormat="1" applyBorder="1" applyAlignment="1">
      <alignment horizontal="center" vertical="center"/>
    </xf>
    <xf numFmtId="0" fontId="0" fillId="0" borderId="123" xfId="0" applyBorder="1" applyAlignment="1">
      <alignment vertical="center"/>
    </xf>
    <xf numFmtId="0" fontId="0" fillId="28" borderId="0" xfId="0" applyFill="1" applyAlignment="1" applyProtection="1">
      <alignment vertical="center"/>
      <protection locked="0"/>
    </xf>
    <xf numFmtId="174" fontId="0" fillId="13" borderId="32" xfId="0" applyNumberFormat="1" applyFill="1" applyBorder="1" applyAlignment="1">
      <alignment horizontal="center" vertical="center"/>
    </xf>
    <xf numFmtId="174" fontId="0" fillId="13" borderId="34" xfId="0" applyNumberFormat="1" applyFill="1" applyBorder="1" applyAlignment="1">
      <alignment horizontal="center" vertical="center"/>
    </xf>
    <xf numFmtId="174" fontId="0" fillId="13" borderId="35" xfId="0" applyNumberFormat="1" applyFill="1" applyBorder="1" applyAlignment="1">
      <alignment horizontal="center" vertical="center"/>
    </xf>
    <xf numFmtId="174" fontId="0" fillId="13" borderId="36" xfId="0" applyNumberFormat="1" applyFill="1" applyBorder="1" applyAlignment="1">
      <alignment horizontal="center" vertical="center"/>
    </xf>
    <xf numFmtId="174" fontId="0" fillId="13" borderId="37" xfId="0" applyNumberFormat="1" applyFill="1" applyBorder="1" applyAlignment="1">
      <alignment horizontal="center" vertical="center"/>
    </xf>
    <xf numFmtId="174" fontId="0" fillId="13" borderId="39" xfId="0" applyNumberFormat="1" applyFill="1" applyBorder="1" applyAlignment="1">
      <alignment horizontal="center" vertical="center"/>
    </xf>
    <xf numFmtId="174" fontId="0" fillId="13" borderId="33" xfId="0" applyNumberFormat="1" applyFill="1" applyBorder="1" applyAlignment="1">
      <alignment horizontal="center" vertical="center"/>
    </xf>
    <xf numFmtId="174" fontId="0" fillId="13" borderId="0" xfId="0" applyNumberFormat="1" applyFill="1" applyAlignment="1">
      <alignment horizontal="center" vertical="center"/>
    </xf>
    <xf numFmtId="174" fontId="0" fillId="13" borderId="38" xfId="0" applyNumberFormat="1" applyFill="1" applyBorder="1" applyAlignment="1">
      <alignment horizontal="center" vertical="center"/>
    </xf>
    <xf numFmtId="0" fontId="17" fillId="15" borderId="0" xfId="0" applyFont="1" applyFill="1" applyAlignment="1">
      <alignment horizontal="center" vertical="center"/>
    </xf>
    <xf numFmtId="0" fontId="35" fillId="15" borderId="0" xfId="0" applyFont="1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56" fillId="0" borderId="0" xfId="0" applyFont="1"/>
    <xf numFmtId="0" fontId="56" fillId="0" borderId="0" xfId="0" applyFont="1" applyAlignment="1">
      <alignment horizontal="right"/>
    </xf>
    <xf numFmtId="164" fontId="54" fillId="8" borderId="0" xfId="0" applyNumberFormat="1" applyFont="1" applyFill="1" applyAlignment="1">
      <alignment horizontal="left"/>
    </xf>
    <xf numFmtId="170" fontId="54" fillId="8" borderId="0" xfId="0" applyNumberFormat="1" applyFont="1" applyFill="1" applyAlignment="1">
      <alignment horizontal="left"/>
    </xf>
    <xf numFmtId="189" fontId="54" fillId="8" borderId="0" xfId="0" applyNumberFormat="1" applyFont="1" applyFill="1" applyAlignment="1">
      <alignment vertical="center"/>
    </xf>
    <xf numFmtId="0" fontId="54" fillId="8" borderId="0" xfId="0" applyFont="1" applyFill="1" applyAlignment="1">
      <alignment horizontal="center" vertical="center"/>
    </xf>
    <xf numFmtId="189" fontId="0" fillId="0" borderId="0" xfId="0" applyNumberFormat="1" applyAlignment="1">
      <alignment vertical="center"/>
    </xf>
    <xf numFmtId="0" fontId="0" fillId="8" borderId="36" xfId="0" applyFill="1" applyBorder="1"/>
    <xf numFmtId="0" fontId="0" fillId="8" borderId="38" xfId="0" applyFill="1" applyBorder="1"/>
    <xf numFmtId="0" fontId="0" fillId="8" borderId="39" xfId="0" applyFill="1" applyBorder="1"/>
    <xf numFmtId="174" fontId="0" fillId="8" borderId="0" xfId="0" applyNumberFormat="1" applyFill="1"/>
    <xf numFmtId="174" fontId="0" fillId="8" borderId="38" xfId="0" applyNumberFormat="1" applyFill="1" applyBorder="1"/>
    <xf numFmtId="0" fontId="0" fillId="4" borderId="35" xfId="0" applyFill="1" applyBorder="1"/>
    <xf numFmtId="0" fontId="0" fillId="4" borderId="37" xfId="0" applyFill="1" applyBorder="1"/>
    <xf numFmtId="174" fontId="0" fillId="4" borderId="35" xfId="0" applyNumberFormat="1" applyFill="1" applyBorder="1"/>
    <xf numFmtId="174" fontId="0" fillId="4" borderId="37" xfId="0" applyNumberFormat="1" applyFill="1" applyBorder="1"/>
    <xf numFmtId="0" fontId="0" fillId="19" borderId="38" xfId="0" applyFill="1" applyBorder="1"/>
    <xf numFmtId="0" fontId="0" fillId="5" borderId="0" xfId="0" applyFill="1"/>
    <xf numFmtId="0" fontId="0" fillId="5" borderId="36" xfId="0" applyFill="1" applyBorder="1"/>
    <xf numFmtId="0" fontId="0" fillId="5" borderId="38" xfId="0" applyFill="1" applyBorder="1"/>
    <xf numFmtId="0" fontId="0" fillId="5" borderId="39" xfId="0" applyFill="1" applyBorder="1"/>
    <xf numFmtId="174" fontId="0" fillId="19" borderId="0" xfId="0" applyNumberFormat="1" applyFill="1"/>
    <xf numFmtId="174" fontId="0" fillId="5" borderId="0" xfId="0" applyNumberFormat="1" applyFill="1"/>
    <xf numFmtId="174" fontId="0" fillId="4" borderId="32" xfId="0" applyNumberFormat="1" applyFill="1" applyBorder="1"/>
    <xf numFmtId="174" fontId="0" fillId="8" borderId="33" xfId="0" applyNumberFormat="1" applyFill="1" applyBorder="1"/>
    <xf numFmtId="174" fontId="0" fillId="19" borderId="33" xfId="0" applyNumberFormat="1" applyFill="1" applyBorder="1"/>
    <xf numFmtId="174" fontId="0" fillId="5" borderId="33" xfId="0" applyNumberFormat="1" applyFill="1" applyBorder="1"/>
    <xf numFmtId="174" fontId="0" fillId="5" borderId="34" xfId="0" applyNumberFormat="1" applyFill="1" applyBorder="1"/>
    <xf numFmtId="174" fontId="0" fillId="5" borderId="36" xfId="0" applyNumberFormat="1" applyFill="1" applyBorder="1"/>
    <xf numFmtId="174" fontId="0" fillId="19" borderId="38" xfId="0" applyNumberFormat="1" applyFill="1" applyBorder="1"/>
    <xf numFmtId="174" fontId="0" fillId="5" borderId="38" xfId="0" applyNumberFormat="1" applyFill="1" applyBorder="1"/>
    <xf numFmtId="174" fontId="0" fillId="5" borderId="39" xfId="0" applyNumberFormat="1" applyFill="1" applyBorder="1"/>
    <xf numFmtId="174" fontId="0" fillId="8" borderId="34" xfId="0" applyNumberFormat="1" applyFill="1" applyBorder="1"/>
    <xf numFmtId="174" fontId="0" fillId="8" borderId="36" xfId="0" applyNumberFormat="1" applyFill="1" applyBorder="1"/>
    <xf numFmtId="174" fontId="0" fillId="8" borderId="39" xfId="0" applyNumberFormat="1" applyFill="1" applyBorder="1"/>
    <xf numFmtId="0" fontId="17" fillId="0" borderId="0" xfId="0" applyFont="1" applyAlignment="1">
      <alignment horizontal="right"/>
    </xf>
    <xf numFmtId="0" fontId="56" fillId="0" borderId="32" xfId="0" applyFont="1" applyBorder="1"/>
    <xf numFmtId="0" fontId="56" fillId="0" borderId="34" xfId="0" applyFont="1" applyBorder="1" applyAlignment="1">
      <alignment horizontal="right"/>
    </xf>
    <xf numFmtId="174" fontId="0" fillId="0" borderId="40" xfId="0" applyNumberFormat="1" applyBorder="1" applyAlignment="1">
      <alignment horizontal="center" vertical="center"/>
    </xf>
    <xf numFmtId="0" fontId="6" fillId="0" borderId="0" xfId="1"/>
    <xf numFmtId="9" fontId="0" fillId="0" borderId="95" xfId="3" applyFont="1" applyFill="1" applyBorder="1"/>
    <xf numFmtId="188" fontId="0" fillId="2" borderId="0" xfId="0" applyNumberFormat="1" applyFill="1" applyProtection="1">
      <protection locked="0"/>
    </xf>
    <xf numFmtId="0" fontId="56" fillId="0" borderId="33" xfId="0" applyFont="1" applyBorder="1" applyAlignment="1">
      <alignment horizontal="right"/>
    </xf>
    <xf numFmtId="9" fontId="0" fillId="0" borderId="33" xfId="3" applyFont="1" applyBorder="1" applyAlignment="1">
      <alignment horizontal="center" vertical="center"/>
    </xf>
    <xf numFmtId="9" fontId="0" fillId="0" borderId="34" xfId="3" applyFont="1" applyBorder="1" applyAlignment="1">
      <alignment horizontal="center" vertical="center"/>
    </xf>
    <xf numFmtId="9" fontId="0" fillId="0" borderId="0" xfId="3" applyFont="1" applyBorder="1" applyAlignment="1">
      <alignment horizontal="center" vertical="center"/>
    </xf>
    <xf numFmtId="9" fontId="0" fillId="0" borderId="36" xfId="3" applyFont="1" applyBorder="1" applyAlignment="1">
      <alignment horizontal="center" vertical="center"/>
    </xf>
    <xf numFmtId="0" fontId="56" fillId="0" borderId="38" xfId="0" applyFont="1" applyBorder="1" applyAlignment="1">
      <alignment horizontal="right"/>
    </xf>
    <xf numFmtId="9" fontId="0" fillId="0" borderId="38" xfId="3" applyFont="1" applyBorder="1" applyAlignment="1">
      <alignment horizontal="center" vertical="center"/>
    </xf>
    <xf numFmtId="9" fontId="0" fillId="0" borderId="39" xfId="3" applyFont="1" applyBorder="1" applyAlignment="1">
      <alignment horizontal="center" vertical="center"/>
    </xf>
    <xf numFmtId="9" fontId="0" fillId="0" borderId="40" xfId="3" applyFont="1" applyBorder="1" applyAlignment="1">
      <alignment horizontal="center" vertical="center"/>
    </xf>
    <xf numFmtId="9" fontId="0" fillId="0" borderId="42" xfId="3" applyFont="1" applyBorder="1" applyAlignment="1">
      <alignment horizontal="center" vertical="center"/>
    </xf>
    <xf numFmtId="9" fontId="0" fillId="0" borderId="41" xfId="3" applyFont="1" applyBorder="1" applyAlignment="1">
      <alignment horizontal="center" vertical="center"/>
    </xf>
    <xf numFmtId="174" fontId="0" fillId="0" borderId="41" xfId="0" applyNumberFormat="1" applyBorder="1" applyAlignment="1">
      <alignment horizontal="center" vertical="center"/>
    </xf>
    <xf numFmtId="195" fontId="0" fillId="0" borderId="35" xfId="0" applyNumberFormat="1" applyBorder="1" applyAlignment="1">
      <alignment horizontal="center" vertical="center"/>
    </xf>
    <xf numFmtId="0" fontId="56" fillId="0" borderId="0" xfId="0" applyFont="1" applyAlignment="1">
      <alignment horizontal="right" vertical="center"/>
    </xf>
    <xf numFmtId="0" fontId="32" fillId="0" borderId="0" xfId="0" applyFont="1" applyAlignment="1">
      <alignment vertical="center"/>
    </xf>
    <xf numFmtId="192" fontId="0" fillId="4" borderId="16" xfId="0" applyNumberFormat="1" applyFill="1" applyBorder="1"/>
    <xf numFmtId="192" fontId="0" fillId="4" borderId="17" xfId="0" applyNumberFormat="1" applyFill="1" applyBorder="1"/>
    <xf numFmtId="196" fontId="0" fillId="4" borderId="24" xfId="0" applyNumberFormat="1" applyFill="1" applyBorder="1"/>
    <xf numFmtId="193" fontId="54" fillId="8" borderId="0" xfId="0" applyNumberFormat="1" applyFont="1" applyFill="1" applyAlignment="1">
      <alignment horizontal="left" vertical="center"/>
    </xf>
    <xf numFmtId="1" fontId="0" fillId="6" borderId="26" xfId="0" applyNumberFormat="1" applyFill="1" applyBorder="1"/>
    <xf numFmtId="170" fontId="58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197" fontId="0" fillId="0" borderId="40" xfId="0" applyNumberFormat="1" applyBorder="1" applyAlignment="1">
      <alignment horizontal="center" vertical="center"/>
    </xf>
    <xf numFmtId="197" fontId="0" fillId="0" borderId="41" xfId="0" applyNumberFormat="1" applyBorder="1" applyAlignment="1">
      <alignment horizontal="center" vertical="center"/>
    </xf>
    <xf numFmtId="0" fontId="64" fillId="0" borderId="0" xfId="0" applyFont="1"/>
    <xf numFmtId="14" fontId="5" fillId="8" borderId="0" xfId="0" applyNumberFormat="1" applyFont="1" applyFill="1" applyAlignment="1">
      <alignment horizontal="left"/>
    </xf>
    <xf numFmtId="0" fontId="0" fillId="13" borderId="1" xfId="0" applyFill="1" applyBorder="1" applyAlignment="1">
      <alignment horizontal="center" vertical="center"/>
    </xf>
    <xf numFmtId="0" fontId="0" fillId="13" borderId="2" xfId="0" applyFill="1" applyBorder="1" applyAlignment="1">
      <alignment horizontal="left" vertical="center"/>
    </xf>
    <xf numFmtId="0" fontId="0" fillId="13" borderId="3" xfId="0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0" fillId="13" borderId="5" xfId="0" applyFill="1" applyBorder="1" applyAlignment="1">
      <alignment horizontal="left" vertical="center"/>
    </xf>
    <xf numFmtId="0" fontId="0" fillId="13" borderId="6" xfId="0" applyFill="1" applyBorder="1" applyAlignment="1">
      <alignment horizontal="left" vertical="center"/>
    </xf>
    <xf numFmtId="0" fontId="0" fillId="13" borderId="7" xfId="0" applyFill="1" applyBorder="1" applyAlignment="1">
      <alignment horizontal="left" vertical="center"/>
    </xf>
    <xf numFmtId="2" fontId="0" fillId="13" borderId="6" xfId="0" applyNumberFormat="1" applyFill="1" applyBorder="1" applyAlignment="1">
      <alignment horizontal="left" vertical="center"/>
    </xf>
    <xf numFmtId="0" fontId="0" fillId="13" borderId="8" xfId="0" applyFill="1" applyBorder="1" applyAlignment="1">
      <alignment horizontal="left" vertical="center"/>
    </xf>
    <xf numFmtId="0" fontId="0" fillId="13" borderId="9" xfId="0" applyFill="1" applyBorder="1" applyAlignment="1">
      <alignment horizontal="left" vertical="center"/>
    </xf>
    <xf numFmtId="0" fontId="0" fillId="13" borderId="10" xfId="0" applyFill="1" applyBorder="1" applyAlignment="1">
      <alignment horizontal="left" vertical="center"/>
    </xf>
    <xf numFmtId="180" fontId="0" fillId="0" borderId="0" xfId="0" applyNumberFormat="1"/>
    <xf numFmtId="1" fontId="0" fillId="6" borderId="0" xfId="0" applyNumberFormat="1" applyFill="1" applyAlignment="1">
      <alignment horizontal="center" vertical="center"/>
    </xf>
    <xf numFmtId="1" fontId="0" fillId="22" borderId="0" xfId="0" applyNumberFormat="1" applyFill="1" applyAlignment="1">
      <alignment horizontal="center" vertical="center"/>
    </xf>
    <xf numFmtId="0" fontId="0" fillId="22" borderId="0" xfId="0" applyFill="1" applyAlignment="1">
      <alignment horizontal="center" vertical="center"/>
    </xf>
    <xf numFmtId="180" fontId="0" fillId="0" borderId="60" xfId="0" applyNumberFormat="1" applyBorder="1"/>
    <xf numFmtId="180" fontId="0" fillId="0" borderId="96" xfId="0" applyNumberFormat="1" applyBorder="1"/>
    <xf numFmtId="0" fontId="11" fillId="0" borderId="140" xfId="0" applyFont="1" applyBorder="1" applyAlignment="1">
      <alignment horizontal="center" vertical="center"/>
    </xf>
    <xf numFmtId="170" fontId="54" fillId="8" borderId="0" xfId="0" applyNumberFormat="1" applyFont="1" applyFill="1" applyAlignment="1">
      <alignment horizontal="right" vertical="center"/>
    </xf>
    <xf numFmtId="0" fontId="0" fillId="8" borderId="0" xfId="0" applyFill="1" applyAlignment="1">
      <alignment horizontal="center"/>
    </xf>
    <xf numFmtId="0" fontId="0" fillId="8" borderId="0" xfId="0" applyFill="1" applyAlignment="1">
      <alignment horizontal="center" vertical="center"/>
    </xf>
    <xf numFmtId="174" fontId="35" fillId="25" borderId="0" xfId="0" applyNumberFormat="1" applyFont="1" applyFill="1" applyProtection="1">
      <protection locked="0"/>
    </xf>
    <xf numFmtId="0" fontId="9" fillId="0" borderId="0" xfId="0" applyFont="1" applyAlignment="1">
      <alignment horizontal="left" vertical="center"/>
    </xf>
    <xf numFmtId="0" fontId="49" fillId="0" borderId="0" xfId="0" applyFont="1" applyAlignment="1">
      <alignment horizontal="center"/>
    </xf>
    <xf numFmtId="0" fontId="0" fillId="5" borderId="0" xfId="0" applyFill="1" applyAlignment="1" applyProtection="1">
      <alignment horizontal="left" vertical="center"/>
      <protection locked="0"/>
    </xf>
    <xf numFmtId="0" fontId="39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165" fontId="3" fillId="5" borderId="0" xfId="0" applyNumberFormat="1" applyFont="1" applyFill="1" applyAlignment="1" applyProtection="1">
      <alignment horizontal="left"/>
      <protection locked="0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5" borderId="0" xfId="0" applyFill="1" applyAlignment="1" applyProtection="1">
      <alignment horizontal="left" vertical="center" wrapText="1"/>
      <protection locked="0"/>
    </xf>
    <xf numFmtId="0" fontId="35" fillId="9" borderId="37" xfId="0" applyFont="1" applyFill="1" applyBorder="1" applyAlignment="1">
      <alignment horizontal="center"/>
    </xf>
    <xf numFmtId="0" fontId="35" fillId="9" borderId="38" xfId="0" applyFont="1" applyFill="1" applyBorder="1" applyAlignment="1">
      <alignment horizontal="center"/>
    </xf>
    <xf numFmtId="0" fontId="35" fillId="9" borderId="39" xfId="0" applyFont="1" applyFill="1" applyBorder="1" applyAlignment="1">
      <alignment horizontal="center"/>
    </xf>
    <xf numFmtId="0" fontId="59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70" fontId="58" fillId="0" borderId="0" xfId="0" applyNumberFormat="1" applyFont="1" applyAlignment="1">
      <alignment horizontal="center"/>
    </xf>
    <xf numFmtId="0" fontId="5" fillId="16" borderId="0" xfId="0" applyFont="1" applyFill="1" applyAlignment="1">
      <alignment horizontal="center" vertical="center"/>
    </xf>
    <xf numFmtId="0" fontId="5" fillId="26" borderId="0" xfId="0" applyFont="1" applyFill="1" applyAlignment="1">
      <alignment horizontal="center" vertical="center"/>
    </xf>
    <xf numFmtId="0" fontId="0" fillId="0" borderId="32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3" xfId="0" applyBorder="1" applyAlignment="1">
      <alignment horizontal="center"/>
    </xf>
    <xf numFmtId="0" fontId="5" fillId="20" borderId="0" xfId="0" applyFont="1" applyFill="1" applyAlignment="1">
      <alignment horizontal="center" vertical="center"/>
    </xf>
    <xf numFmtId="0" fontId="5" fillId="24" borderId="0" xfId="0" applyFont="1" applyFill="1" applyAlignment="1">
      <alignment horizontal="center" vertical="center"/>
    </xf>
    <xf numFmtId="0" fontId="0" fillId="0" borderId="14" xfId="0" applyBorder="1" applyAlignment="1">
      <alignment horizontal="center" vertical="center" textRotation="90"/>
    </xf>
    <xf numFmtId="0" fontId="0" fillId="0" borderId="40" xfId="0" applyBorder="1" applyAlignment="1">
      <alignment horizontal="center" vertical="center" textRotation="90"/>
    </xf>
    <xf numFmtId="0" fontId="0" fillId="0" borderId="42" xfId="0" applyBorder="1" applyAlignment="1">
      <alignment horizontal="center" vertical="center" textRotation="90"/>
    </xf>
    <xf numFmtId="0" fontId="0" fillId="0" borderId="41" xfId="0" applyBorder="1" applyAlignment="1">
      <alignment horizontal="center" vertical="center" textRotation="90"/>
    </xf>
    <xf numFmtId="0" fontId="0" fillId="0" borderId="32" xfId="0" applyBorder="1" applyAlignment="1">
      <alignment horizontal="center" vertical="center" textRotation="90"/>
    </xf>
    <xf numFmtId="0" fontId="0" fillId="0" borderId="35" xfId="0" applyBorder="1" applyAlignment="1">
      <alignment horizontal="center" vertical="center" textRotation="90"/>
    </xf>
    <xf numFmtId="0" fontId="0" fillId="0" borderId="37" xfId="0" applyBorder="1" applyAlignment="1">
      <alignment horizontal="center" vertical="center" textRotation="90"/>
    </xf>
    <xf numFmtId="0" fontId="0" fillId="0" borderId="32" xfId="0" applyBorder="1" applyAlignment="1">
      <alignment horizontal="center" textRotation="45"/>
    </xf>
    <xf numFmtId="0" fontId="0" fillId="0" borderId="35" xfId="0" applyBorder="1" applyAlignment="1">
      <alignment horizontal="center" textRotation="45"/>
    </xf>
    <xf numFmtId="0" fontId="0" fillId="0" borderId="37" xfId="0" applyBorder="1" applyAlignment="1">
      <alignment horizontal="center" textRotation="45"/>
    </xf>
    <xf numFmtId="0" fontId="0" fillId="0" borderId="22" xfId="0" applyBorder="1" applyAlignment="1">
      <alignment horizontal="center"/>
    </xf>
    <xf numFmtId="0" fontId="10" fillId="5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2" borderId="92" xfId="0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0" fontId="0" fillId="5" borderId="40" xfId="0" applyFill="1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0" fillId="2" borderId="65" xfId="0" applyFill="1" applyBorder="1" applyAlignment="1">
      <alignment horizontal="center" vertical="center"/>
    </xf>
    <xf numFmtId="0" fontId="0" fillId="2" borderId="102" xfId="0" applyFill="1" applyBorder="1" applyAlignment="1">
      <alignment horizontal="center" vertical="center"/>
    </xf>
    <xf numFmtId="0" fontId="10" fillId="2" borderId="65" xfId="0" applyFont="1" applyFill="1" applyBorder="1" applyAlignment="1">
      <alignment horizontal="center" vertical="center"/>
    </xf>
    <xf numFmtId="0" fontId="10" fillId="2" borderId="102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0" fillId="5" borderId="40" xfId="0" applyFont="1" applyFill="1" applyBorder="1" applyAlignment="1">
      <alignment horizontal="center" vertical="center"/>
    </xf>
    <xf numFmtId="0" fontId="10" fillId="5" borderId="42" xfId="0" applyFont="1" applyFill="1" applyBorder="1" applyAlignment="1">
      <alignment horizontal="center" vertical="center"/>
    </xf>
    <xf numFmtId="0" fontId="10" fillId="5" borderId="2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0" fillId="2" borderId="82" xfId="0" applyFont="1" applyFill="1" applyBorder="1" applyAlignment="1">
      <alignment horizontal="center" vertical="center"/>
    </xf>
    <xf numFmtId="0" fontId="10" fillId="2" borderId="83" xfId="0" applyFont="1" applyFill="1" applyBorder="1" applyAlignment="1">
      <alignment horizontal="center" vertical="center"/>
    </xf>
    <xf numFmtId="0" fontId="10" fillId="5" borderId="82" xfId="0" applyFont="1" applyFill="1" applyBorder="1" applyAlignment="1">
      <alignment horizontal="center" vertical="center"/>
    </xf>
    <xf numFmtId="0" fontId="10" fillId="5" borderId="83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1" fontId="11" fillId="5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5" borderId="14" xfId="0" applyFont="1" applyFill="1" applyBorder="1" applyAlignment="1">
      <alignment horizontal="center"/>
    </xf>
    <xf numFmtId="0" fontId="10" fillId="5" borderId="22" xfId="0" applyFont="1" applyFill="1" applyBorder="1" applyAlignment="1">
      <alignment horizontal="center"/>
    </xf>
    <xf numFmtId="0" fontId="10" fillId="5" borderId="23" xfId="0" applyFont="1" applyFill="1" applyBorder="1" applyAlignment="1">
      <alignment horizontal="center"/>
    </xf>
    <xf numFmtId="0" fontId="10" fillId="2" borderId="35" xfId="0" applyFont="1" applyFill="1" applyBorder="1" applyAlignment="1">
      <alignment horizontal="center" vertical="center"/>
    </xf>
    <xf numFmtId="0" fontId="10" fillId="5" borderId="41" xfId="0" applyFont="1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65" fillId="29" borderId="139" xfId="7" applyAlignment="1">
      <alignment horizontal="center" vertical="center" textRotation="90" wrapText="1"/>
    </xf>
    <xf numFmtId="0" fontId="0" fillId="0" borderId="0" xfId="0" applyAlignment="1">
      <alignment horizontal="right" vertical="center" textRotation="90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70" fontId="17" fillId="0" borderId="0" xfId="0" applyNumberFormat="1" applyFont="1" applyProtection="1">
      <protection locked="0"/>
    </xf>
    <xf numFmtId="170" fontId="17" fillId="0" borderId="0" xfId="0" applyNumberFormat="1" applyFont="1" applyAlignment="1" applyProtection="1">
      <alignment horizontal="left"/>
      <protection locked="0"/>
    </xf>
  </cellXfs>
  <cellStyles count="8">
    <cellStyle name="Calcul" xfId="7" builtinId="22"/>
    <cellStyle name="Monétaire" xfId="2" builtinId="4"/>
    <cellStyle name="Normal" xfId="0" builtinId="0"/>
    <cellStyle name="Pourcentage" xfId="3" builtinId="5"/>
    <cellStyle name="Titre 1" xfId="4" builtinId="16"/>
    <cellStyle name="Titre 2" xfId="6" builtinId="17"/>
    <cellStyle name="Titre 3" xfId="5" builtinId="18"/>
    <cellStyle name="Titre 4" xfId="1" builtinId="19" customBuiltin="1"/>
  </cellStyles>
  <dxfs count="45"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7" tint="0.59996337778862885"/>
        </patternFill>
      </fill>
    </dxf>
    <dxf>
      <fill>
        <patternFill>
          <bgColor rgb="FFFF9999"/>
        </patternFill>
      </fill>
    </dxf>
    <dxf>
      <font>
        <color rgb="FFC00000"/>
      </font>
      <fill>
        <patternFill>
          <bgColor rgb="FFFFCCCC"/>
        </patternFill>
      </fill>
    </dxf>
    <dxf>
      <font>
        <b/>
        <i val="0"/>
        <strike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C0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/>
        <color rgb="FFC00000"/>
      </font>
      <fill>
        <patternFill>
          <bgColor rgb="FFFFCCCC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  <color theme="1"/>
      </font>
      <fill>
        <patternFill>
          <bgColor rgb="FFFFC0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/>
        <color rgb="FFC00000"/>
      </font>
      <fill>
        <patternFill>
          <bgColor rgb="FFFFCCCC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8" tint="0.79998168889431442"/>
        </patternFill>
      </fill>
    </dxf>
    <dxf>
      <fill>
        <patternFill>
          <bgColor theme="1" tint="0.14996795556505021"/>
        </patternFill>
      </fill>
    </dxf>
    <dxf>
      <font>
        <b/>
        <i val="0"/>
        <strike val="0"/>
        <color rgb="FF002060"/>
      </font>
      <fill>
        <patternFill>
          <bgColor theme="8" tint="0.79998168889431442"/>
        </patternFill>
      </fill>
    </dxf>
    <dxf>
      <font>
        <b/>
        <i val="0"/>
        <strike val="0"/>
        <color theme="9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rgb="FFFFCCCC"/>
        </patternFill>
      </fill>
    </dxf>
    <dxf>
      <fill>
        <patternFill>
          <bgColor theme="1" tint="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/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b/>
        <i/>
        <color rgb="FFC0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1"/>
      </font>
      <fill>
        <patternFill>
          <bgColor theme="7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CCCC"/>
      <color rgb="FFFF9999"/>
      <color rgb="FF3A6FCE"/>
      <color rgb="FF1E3E77"/>
      <color rgb="FF2F5CAC"/>
      <color rgb="FF003300"/>
      <color rgb="FFE9ED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microsoft.com/office/2022/10/relationships/richValueRel" Target="richData/richValueRel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png"/><Relationship Id="rId7" Type="http://schemas.openxmlformats.org/officeDocument/2006/relationships/image" Target="../media/image17.jpe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emf"/><Relationship Id="rId5" Type="http://schemas.openxmlformats.org/officeDocument/2006/relationships/image" Target="../media/image15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svg"/><Relationship Id="rId3" Type="http://schemas.openxmlformats.org/officeDocument/2006/relationships/image" Target="../media/image13.png"/><Relationship Id="rId7" Type="http://schemas.openxmlformats.org/officeDocument/2006/relationships/image" Target="../media/image26.png"/><Relationship Id="rId2" Type="http://schemas.openxmlformats.org/officeDocument/2006/relationships/image" Target="../media/image12.png"/><Relationship Id="rId1" Type="http://schemas.openxmlformats.org/officeDocument/2006/relationships/image" Target="../media/image22.emf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emf"/><Relationship Id="rId9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13.png"/><Relationship Id="rId7" Type="http://schemas.openxmlformats.org/officeDocument/2006/relationships/image" Target="../media/image35.png"/><Relationship Id="rId2" Type="http://schemas.openxmlformats.org/officeDocument/2006/relationships/image" Target="../media/image12.png"/><Relationship Id="rId1" Type="http://schemas.openxmlformats.org/officeDocument/2006/relationships/image" Target="../media/image34.emf"/><Relationship Id="rId6" Type="http://schemas.openxmlformats.org/officeDocument/2006/relationships/image" Target="../media/image27.svg"/><Relationship Id="rId5" Type="http://schemas.openxmlformats.org/officeDocument/2006/relationships/image" Target="../media/image26.png"/><Relationship Id="rId4" Type="http://schemas.openxmlformats.org/officeDocument/2006/relationships/image" Target="../media/image23.emf"/><Relationship Id="rId9" Type="http://schemas.openxmlformats.org/officeDocument/2006/relationships/image" Target="../media/image3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0.emf"/><Relationship Id="rId1" Type="http://schemas.openxmlformats.org/officeDocument/2006/relationships/image" Target="../media/image29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0.emf"/><Relationship Id="rId1" Type="http://schemas.openxmlformats.org/officeDocument/2006/relationships/image" Target="../media/image38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403131</xdr:colOff>
      <xdr:row>5</xdr:row>
      <xdr:rowOff>157339</xdr:rowOff>
    </xdr:from>
    <xdr:to>
      <xdr:col>16</xdr:col>
      <xdr:colOff>174033</xdr:colOff>
      <xdr:row>13</xdr:row>
      <xdr:rowOff>1100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D3D542C-F635-599D-5C64-DD3B7B9E4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8455" y="1233104"/>
          <a:ext cx="4182209" cy="1356555"/>
        </a:xfrm>
        <a:prstGeom prst="rect">
          <a:avLst/>
        </a:prstGeom>
      </xdr:spPr>
    </xdr:pic>
    <xdr:clientData/>
  </xdr:twoCellAnchor>
  <xdr:twoCellAnchor editAs="oneCell">
    <xdr:from>
      <xdr:col>6</xdr:col>
      <xdr:colOff>9249</xdr:colOff>
      <xdr:row>5</xdr:row>
      <xdr:rowOff>136640</xdr:rowOff>
    </xdr:from>
    <xdr:to>
      <xdr:col>7</xdr:col>
      <xdr:colOff>627991</xdr:colOff>
      <xdr:row>14</xdr:row>
      <xdr:rowOff>20246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7A450B4-F739-EDAF-2672-83F587D502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266"/>
        <a:stretch/>
      </xdr:blipFill>
      <xdr:spPr>
        <a:xfrm>
          <a:off x="4639227" y="1263075"/>
          <a:ext cx="1463568" cy="1598106"/>
        </a:xfrm>
        <a:prstGeom prst="rect">
          <a:avLst/>
        </a:prstGeom>
      </xdr:spPr>
    </xdr:pic>
    <xdr:clientData/>
  </xdr:twoCellAnchor>
  <xdr:twoCellAnchor editAs="oneCell">
    <xdr:from>
      <xdr:col>7</xdr:col>
      <xdr:colOff>697942</xdr:colOff>
      <xdr:row>5</xdr:row>
      <xdr:rowOff>109172</xdr:rowOff>
    </xdr:from>
    <xdr:to>
      <xdr:col>10</xdr:col>
      <xdr:colOff>79577</xdr:colOff>
      <xdr:row>14</xdr:row>
      <xdr:rowOff>22757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ADBE990E-AC76-1F75-7DAA-E67AA78C1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78471" y="1184937"/>
          <a:ext cx="1465930" cy="1613293"/>
        </a:xfrm>
        <a:prstGeom prst="rect">
          <a:avLst/>
        </a:prstGeom>
      </xdr:spPr>
    </xdr:pic>
    <xdr:clientData/>
  </xdr:twoCellAnchor>
  <xdr:twoCellAnchor>
    <xdr:from>
      <xdr:col>11</xdr:col>
      <xdr:colOff>54086</xdr:colOff>
      <xdr:row>15</xdr:row>
      <xdr:rowOff>64440</xdr:rowOff>
    </xdr:from>
    <xdr:to>
      <xdr:col>13</xdr:col>
      <xdr:colOff>440214</xdr:colOff>
      <xdr:row>25</xdr:row>
      <xdr:rowOff>29314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0F0A8D16-227E-4007-B780-BBDE676BDA54}"/>
            </a:ext>
          </a:extLst>
        </xdr:cNvPr>
        <xdr:cNvGrpSpPr/>
      </xdr:nvGrpSpPr>
      <xdr:grpSpPr>
        <a:xfrm>
          <a:off x="7785570" y="3133478"/>
          <a:ext cx="2846725" cy="1797235"/>
          <a:chOff x="8819156" y="2242000"/>
          <a:chExt cx="3465269" cy="2345074"/>
        </a:xfrm>
      </xdr:grpSpPr>
      <xdr:pic>
        <xdr:nvPicPr>
          <xdr:cNvPr id="16" name="Image 15">
            <a:extLst>
              <a:ext uri="{FF2B5EF4-FFF2-40B4-BE49-F238E27FC236}">
                <a16:creationId xmlns:a16="http://schemas.microsoft.com/office/drawing/2014/main" id="{8E1F6EBC-1169-11D0-664F-B9E94BE519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895771" y="2449239"/>
            <a:ext cx="3101676" cy="1949381"/>
          </a:xfrm>
          <a:prstGeom prst="rect">
            <a:avLst/>
          </a:prstGeom>
        </xdr:spPr>
      </xdr:pic>
      <xdr:sp macro="" textlink="toit_ramp">
        <xdr:nvSpPr>
          <xdr:cNvPr id="36" name="ZoneTexte 35">
            <a:extLst>
              <a:ext uri="{FF2B5EF4-FFF2-40B4-BE49-F238E27FC236}">
                <a16:creationId xmlns:a16="http://schemas.microsoft.com/office/drawing/2014/main" id="{608448EF-2109-845C-9BE7-6E9056D7E630}"/>
              </a:ext>
            </a:extLst>
          </xdr:cNvPr>
          <xdr:cNvSpPr txBox="1"/>
        </xdr:nvSpPr>
        <xdr:spPr>
          <a:xfrm rot="18368967">
            <a:off x="8871728" y="2529120"/>
            <a:ext cx="894850" cy="32060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4E039255-E81E-4153-8EE5-6B10188B274A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6,00 m</a:t>
            </a:fld>
            <a:endParaRPr lang="fr-FR" sz="1100" b="1"/>
          </a:p>
        </xdr:txBody>
      </xdr:sp>
      <xdr:sp macro="" textlink="toit_long">
        <xdr:nvSpPr>
          <xdr:cNvPr id="40" name="ZoneTexte 39">
            <a:extLst>
              <a:ext uri="{FF2B5EF4-FFF2-40B4-BE49-F238E27FC236}">
                <a16:creationId xmlns:a16="http://schemas.microsoft.com/office/drawing/2014/main" id="{4134D56D-7ABD-BF71-9C88-FE5548DA6BD1}"/>
              </a:ext>
            </a:extLst>
          </xdr:cNvPr>
          <xdr:cNvSpPr txBox="1"/>
        </xdr:nvSpPr>
        <xdr:spPr>
          <a:xfrm rot="646145">
            <a:off x="10115902" y="2312947"/>
            <a:ext cx="934921" cy="3194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582ACA66-2600-4892-A88C-442FDB555FB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17,49 m</a:t>
            </a:fld>
            <a:endParaRPr lang="fr-FR" sz="1100"/>
          </a:p>
        </xdr:txBody>
      </xdr:sp>
      <xdr:sp macro="" textlink="toit_larg">
        <xdr:nvSpPr>
          <xdr:cNvPr id="41" name="ZoneTexte 40">
            <a:extLst>
              <a:ext uri="{FF2B5EF4-FFF2-40B4-BE49-F238E27FC236}">
                <a16:creationId xmlns:a16="http://schemas.microsoft.com/office/drawing/2014/main" id="{D3055656-C0E7-7302-19B0-962067D263DF}"/>
              </a:ext>
            </a:extLst>
          </xdr:cNvPr>
          <xdr:cNvSpPr txBox="1"/>
        </xdr:nvSpPr>
        <xdr:spPr>
          <a:xfrm rot="20621644">
            <a:off x="11085362" y="4267631"/>
            <a:ext cx="934921" cy="3194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E8171F14-8E24-4CC5-ACC7-2B8A8FC36145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11,28 m</a:t>
            </a:fld>
            <a:endParaRPr lang="fr-FR" sz="1100" b="1"/>
          </a:p>
        </xdr:txBody>
      </xdr:sp>
      <xdr:sp macro="" textlink="pente">
        <xdr:nvSpPr>
          <xdr:cNvPr id="52" name="ZoneTexte 51">
            <a:extLst>
              <a:ext uri="{FF2B5EF4-FFF2-40B4-BE49-F238E27FC236}">
                <a16:creationId xmlns:a16="http://schemas.microsoft.com/office/drawing/2014/main" id="{E2134415-C574-7036-AF66-579D81FF1838}"/>
              </a:ext>
            </a:extLst>
          </xdr:cNvPr>
          <xdr:cNvSpPr txBox="1"/>
        </xdr:nvSpPr>
        <xdr:spPr>
          <a:xfrm rot="20621644">
            <a:off x="8819156" y="3645839"/>
            <a:ext cx="709920" cy="3188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F16D365-ED7E-411A-BC24-657C7FF5D48F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20,0°</a:t>
            </a:fld>
            <a:endParaRPr lang="fr-FR" sz="1100"/>
          </a:p>
        </xdr:txBody>
      </xdr:sp>
      <xdr:sp macro="" textlink="haut_bat">
        <xdr:nvSpPr>
          <xdr:cNvPr id="55" name="ZoneTexte 54">
            <a:extLst>
              <a:ext uri="{FF2B5EF4-FFF2-40B4-BE49-F238E27FC236}">
                <a16:creationId xmlns:a16="http://schemas.microsoft.com/office/drawing/2014/main" id="{585FD446-8610-110B-7677-06939951051C}"/>
              </a:ext>
            </a:extLst>
          </xdr:cNvPr>
          <xdr:cNvSpPr txBox="1"/>
        </xdr:nvSpPr>
        <xdr:spPr>
          <a:xfrm rot="16200000">
            <a:off x="11650960" y="3171987"/>
            <a:ext cx="847083" cy="4198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8E4BD91-C109-4F1A-A50C-343F273C101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8,00 m</a:t>
            </a:fld>
            <a:endParaRPr lang="fr-FR" sz="1100"/>
          </a:p>
        </xdr:txBody>
      </xdr:sp>
    </xdr:grpSp>
    <xdr:clientData/>
  </xdr:twoCellAnchor>
  <xdr:twoCellAnchor editAs="oneCell">
    <xdr:from>
      <xdr:col>11</xdr:col>
      <xdr:colOff>34087</xdr:colOff>
      <xdr:row>29</xdr:row>
      <xdr:rowOff>174257</xdr:rowOff>
    </xdr:from>
    <xdr:to>
      <xdr:col>17</xdr:col>
      <xdr:colOff>493141</xdr:colOff>
      <xdr:row>40</xdr:row>
      <xdr:rowOff>34846</xdr:rowOff>
    </xdr:to>
    <xdr:pic>
      <xdr:nvPicPr>
        <xdr:cNvPr id="13" name="Image 70">
          <a:extLst>
            <a:ext uri="{FF2B5EF4-FFF2-40B4-BE49-F238E27FC236}">
              <a16:creationId xmlns:a16="http://schemas.microsoft.com/office/drawing/2014/main" id="{5302CDD1-EB48-4056-882C-59D5FAA8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8549" y="5735392"/>
          <a:ext cx="5060361" cy="19928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243857</xdr:colOff>
          <xdr:row>46</xdr:row>
          <xdr:rowOff>8885</xdr:rowOff>
        </xdr:from>
        <xdr:to>
          <xdr:col>14</xdr:col>
          <xdr:colOff>478637</xdr:colOff>
          <xdr:row>60</xdr:row>
          <xdr:rowOff>97611</xdr:rowOff>
        </xdr:to>
        <xdr:pic>
          <xdr:nvPicPr>
            <xdr:cNvPr id="74" name="Picture 73">
              <a:extLst>
                <a:ext uri="{FF2B5EF4-FFF2-40B4-BE49-F238E27FC236}">
                  <a16:creationId xmlns:a16="http://schemas.microsoft.com/office/drawing/2014/main" id="{EC41CF9C-A52D-BBB3-FD63-D16521C1DCF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chema_toit" spid="_x0000_s97889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5718661" y="9136320"/>
              <a:ext cx="5536313" cy="33610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5</xdr:col>
      <xdr:colOff>29308</xdr:colOff>
      <xdr:row>0</xdr:row>
      <xdr:rowOff>66051</xdr:rowOff>
    </xdr:from>
    <xdr:to>
      <xdr:col>5</xdr:col>
      <xdr:colOff>1024962</xdr:colOff>
      <xdr:row>0</xdr:row>
      <xdr:rowOff>304506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D6A884-1B0F-5A4F-BF66-EB907FE7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7423" y="66051"/>
          <a:ext cx="1018514" cy="238455"/>
        </a:xfrm>
        <a:prstGeom prst="rect">
          <a:avLst/>
        </a:prstGeom>
      </xdr:spPr>
    </xdr:pic>
    <xdr:clientData/>
  </xdr:twoCellAnchor>
  <xdr:twoCellAnchor editAs="oneCell">
    <xdr:from>
      <xdr:col>5</xdr:col>
      <xdr:colOff>160514</xdr:colOff>
      <xdr:row>0</xdr:row>
      <xdr:rowOff>342343</xdr:rowOff>
    </xdr:from>
    <xdr:to>
      <xdr:col>5</xdr:col>
      <xdr:colOff>1026710</xdr:colOff>
      <xdr:row>2</xdr:row>
      <xdr:rowOff>21514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305006F2-4734-C2C5-529B-F5563252F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629" y="342343"/>
          <a:ext cx="877626" cy="228983"/>
        </a:xfrm>
        <a:prstGeom prst="rect">
          <a:avLst/>
        </a:prstGeom>
      </xdr:spPr>
    </xdr:pic>
    <xdr:clientData/>
  </xdr:twoCellAnchor>
  <xdr:twoCellAnchor>
    <xdr:from>
      <xdr:col>6</xdr:col>
      <xdr:colOff>147701</xdr:colOff>
      <xdr:row>16</xdr:row>
      <xdr:rowOff>15176</xdr:rowOff>
    </xdr:from>
    <xdr:to>
      <xdr:col>9</xdr:col>
      <xdr:colOff>494338</xdr:colOff>
      <xdr:row>25</xdr:row>
      <xdr:rowOff>91750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1F72DAFD-7204-813B-99E8-7DC2202A8797}"/>
            </a:ext>
          </a:extLst>
        </xdr:cNvPr>
        <xdr:cNvGrpSpPr/>
      </xdr:nvGrpSpPr>
      <xdr:grpSpPr>
        <a:xfrm>
          <a:off x="4775774" y="3282334"/>
          <a:ext cx="2692521" cy="1716530"/>
          <a:chOff x="4859943" y="3253697"/>
          <a:chExt cx="2690707" cy="1731953"/>
        </a:xfrm>
      </xdr:grpSpPr>
      <xdr:pic>
        <xdr:nvPicPr>
          <xdr:cNvPr id="2" name="Image 1">
            <a:extLst>
              <a:ext uri="{FF2B5EF4-FFF2-40B4-BE49-F238E27FC236}">
                <a16:creationId xmlns:a16="http://schemas.microsoft.com/office/drawing/2014/main" id="{915146FB-1BC2-9460-76D1-B902C50A4B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4921598" y="3344457"/>
            <a:ext cx="2435840" cy="1532229"/>
          </a:xfrm>
          <a:prstGeom prst="rect">
            <a:avLst/>
          </a:prstGeom>
        </xdr:spPr>
      </xdr:pic>
      <xdr:grpSp>
        <xdr:nvGrpSpPr>
          <xdr:cNvPr id="56" name="Groupe 55">
            <a:extLst>
              <a:ext uri="{FF2B5EF4-FFF2-40B4-BE49-F238E27FC236}">
                <a16:creationId xmlns:a16="http://schemas.microsoft.com/office/drawing/2014/main" id="{243FB280-B4D0-44E9-A46B-5A16C566C85F}"/>
              </a:ext>
            </a:extLst>
          </xdr:cNvPr>
          <xdr:cNvGrpSpPr>
            <a:grpSpLocks noChangeAspect="1"/>
          </xdr:cNvGrpSpPr>
        </xdr:nvGrpSpPr>
        <xdr:grpSpPr>
          <a:xfrm>
            <a:off x="4856133" y="3249887"/>
            <a:ext cx="2698327" cy="1731953"/>
            <a:chOff x="5239542" y="2353291"/>
            <a:chExt cx="3559065" cy="2223983"/>
          </a:xfrm>
        </xdr:grpSpPr>
        <xdr:sp macro="" textlink="toit_ramp">
          <xdr:nvSpPr>
            <xdr:cNvPr id="64" name="ZoneTexte 63">
              <a:extLst>
                <a:ext uri="{FF2B5EF4-FFF2-40B4-BE49-F238E27FC236}">
                  <a16:creationId xmlns:a16="http://schemas.microsoft.com/office/drawing/2014/main" id="{0C1762DD-6D25-3DFC-56B9-2365B3C177FB}"/>
                </a:ext>
              </a:extLst>
            </xdr:cNvPr>
            <xdr:cNvSpPr txBox="1"/>
          </xdr:nvSpPr>
          <xdr:spPr>
            <a:xfrm rot="19019397">
              <a:off x="5658070" y="2635163"/>
              <a:ext cx="791367" cy="21183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6EAEA375-4EA2-4F75-91FE-609BBA631AC3}" type="TxLink">
                <a:rPr lang="en-US" sz="11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6,00 m</a:t>
              </a:fld>
              <a:endParaRPr lang="fr-FR" sz="1100" b="1"/>
            </a:p>
          </xdr:txBody>
        </xdr:sp>
        <xdr:sp macro="" textlink="toit_long">
          <xdr:nvSpPr>
            <xdr:cNvPr id="65" name="ZoneTexte 64">
              <a:extLst>
                <a:ext uri="{FF2B5EF4-FFF2-40B4-BE49-F238E27FC236}">
                  <a16:creationId xmlns:a16="http://schemas.microsoft.com/office/drawing/2014/main" id="{2560DD37-8C04-EB9D-62C5-18B170533773}"/>
                </a:ext>
              </a:extLst>
            </xdr:cNvPr>
            <xdr:cNvSpPr txBox="1"/>
          </xdr:nvSpPr>
          <xdr:spPr>
            <a:xfrm rot="646145">
              <a:off x="7145109" y="2353291"/>
              <a:ext cx="953350" cy="3187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6BA0F0D0-7035-4887-B45A-F6BA2E01570C}" type="TxLink">
                <a:rPr lang="en-US" sz="110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17,49 m</a:t>
              </a:fld>
              <a:endParaRPr lang="fr-FR" sz="1100"/>
            </a:p>
          </xdr:txBody>
        </xdr:sp>
        <xdr:sp macro="" textlink="toit_larg">
          <xdr:nvSpPr>
            <xdr:cNvPr id="70" name="ZoneTexte 69">
              <a:extLst>
                <a:ext uri="{FF2B5EF4-FFF2-40B4-BE49-F238E27FC236}">
                  <a16:creationId xmlns:a16="http://schemas.microsoft.com/office/drawing/2014/main" id="{4B405FE5-AB39-757F-2D19-FA497B436559}"/>
                </a:ext>
              </a:extLst>
            </xdr:cNvPr>
            <xdr:cNvSpPr txBox="1"/>
          </xdr:nvSpPr>
          <xdr:spPr>
            <a:xfrm rot="20621644">
              <a:off x="7653054" y="4258482"/>
              <a:ext cx="1056368" cy="3187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07C857A4-2766-4DE9-A6A3-533C4824C135}" type="TxLink">
                <a:rPr lang="en-US" sz="11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11,28 m</a:t>
              </a:fld>
              <a:endParaRPr lang="fr-FR" sz="1100" b="1"/>
            </a:p>
          </xdr:txBody>
        </xdr:sp>
        <xdr:sp macro="" textlink="pente">
          <xdr:nvSpPr>
            <xdr:cNvPr id="71" name="ZoneTexte 70">
              <a:extLst>
                <a:ext uri="{FF2B5EF4-FFF2-40B4-BE49-F238E27FC236}">
                  <a16:creationId xmlns:a16="http://schemas.microsoft.com/office/drawing/2014/main" id="{E2CF8089-21E6-8946-C225-6B0C39F7ECC0}"/>
                </a:ext>
              </a:extLst>
            </xdr:cNvPr>
            <xdr:cNvSpPr txBox="1"/>
          </xdr:nvSpPr>
          <xdr:spPr>
            <a:xfrm rot="20621644">
              <a:off x="5239542" y="3658849"/>
              <a:ext cx="709670" cy="3187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7F16D365-ED7E-411A-BC24-657C7FF5D48F}" type="TxLink">
                <a:rPr lang="en-US" sz="110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20,0°</a:t>
              </a:fld>
              <a:endParaRPr lang="fr-FR" sz="1100"/>
            </a:p>
          </xdr:txBody>
        </xdr:sp>
        <xdr:sp macro="" textlink="haut_bat">
          <xdr:nvSpPr>
            <xdr:cNvPr id="72" name="ZoneTexte 71">
              <a:extLst>
                <a:ext uri="{FF2B5EF4-FFF2-40B4-BE49-F238E27FC236}">
                  <a16:creationId xmlns:a16="http://schemas.microsoft.com/office/drawing/2014/main" id="{55041229-8A8D-EEEF-59FB-50ECF8DB257A}"/>
                </a:ext>
              </a:extLst>
            </xdr:cNvPr>
            <xdr:cNvSpPr txBox="1"/>
          </xdr:nvSpPr>
          <xdr:spPr>
            <a:xfrm rot="16200000">
              <a:off x="8140079" y="3237658"/>
              <a:ext cx="973779" cy="3432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6BCFD1B2-2D93-401C-A9F9-1A8EB3818A5D}" type="TxLink">
                <a:rPr lang="en-US" sz="110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8,00 m</a:t>
              </a:fld>
              <a:endParaRPr lang="fr-FR" sz="1100"/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325891</xdr:colOff>
      <xdr:row>0</xdr:row>
      <xdr:rowOff>0</xdr:rowOff>
    </xdr:from>
    <xdr:to>
      <xdr:col>5</xdr:col>
      <xdr:colOff>709431</xdr:colOff>
      <xdr:row>1</xdr:row>
      <xdr:rowOff>142615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BE898E-C941-4E42-9D51-48594CC04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4130" y="0"/>
          <a:ext cx="1520045" cy="3266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322359</xdr:colOff>
          <xdr:row>102</xdr:row>
          <xdr:rowOff>96255</xdr:rowOff>
        </xdr:from>
        <xdr:to>
          <xdr:col>9</xdr:col>
          <xdr:colOff>377557</xdr:colOff>
          <xdr:row>117</xdr:row>
          <xdr:rowOff>17709</xdr:rowOff>
        </xdr:to>
        <xdr:pic>
          <xdr:nvPicPr>
            <xdr:cNvPr id="17" name="Picture 73">
              <a:extLst>
                <a:ext uri="{FF2B5EF4-FFF2-40B4-BE49-F238E27FC236}">
                  <a16:creationId xmlns:a16="http://schemas.microsoft.com/office/drawing/2014/main" id="{A967FDD7-E1D3-491F-8E30-F3C8FFCA5F8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chema_toit" spid="_x0000_s10913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30997" y="19888548"/>
              <a:ext cx="4012868" cy="256598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465595</xdr:colOff>
      <xdr:row>55</xdr:row>
      <xdr:rowOff>146882</xdr:rowOff>
    </xdr:from>
    <xdr:to>
      <xdr:col>2</xdr:col>
      <xdr:colOff>383422</xdr:colOff>
      <xdr:row>64</xdr:row>
      <xdr:rowOff>75088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AED1E13-2002-49BF-912D-6E4C95E234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266"/>
        <a:stretch/>
      </xdr:blipFill>
      <xdr:spPr>
        <a:xfrm>
          <a:off x="465595" y="10698341"/>
          <a:ext cx="1468721" cy="1550817"/>
        </a:xfrm>
        <a:prstGeom prst="rect">
          <a:avLst/>
        </a:prstGeom>
      </xdr:spPr>
    </xdr:pic>
    <xdr:clientData/>
  </xdr:twoCellAnchor>
  <xdr:twoCellAnchor editAs="oneCell">
    <xdr:from>
      <xdr:col>3</xdr:col>
      <xdr:colOff>665180</xdr:colOff>
      <xdr:row>55</xdr:row>
      <xdr:rowOff>128277</xdr:rowOff>
    </xdr:from>
    <xdr:to>
      <xdr:col>5</xdr:col>
      <xdr:colOff>649111</xdr:colOff>
      <xdr:row>64</xdr:row>
      <xdr:rowOff>94081</xdr:rowOff>
    </xdr:to>
    <xdr:pic>
      <xdr:nvPicPr>
        <xdr:cNvPr id="6" name="Image 9">
          <a:extLst>
            <a:ext uri="{FF2B5EF4-FFF2-40B4-BE49-F238E27FC236}">
              <a16:creationId xmlns:a16="http://schemas.microsoft.com/office/drawing/2014/main" id="{C14F5224-1921-4494-862A-4C3F081EA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61533" y="10679736"/>
          <a:ext cx="1491347" cy="158460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104776</xdr:colOff>
          <xdr:row>68</xdr:row>
          <xdr:rowOff>40238</xdr:rowOff>
        </xdr:from>
        <xdr:to>
          <xdr:col>9</xdr:col>
          <xdr:colOff>16662</xdr:colOff>
          <xdr:row>77</xdr:row>
          <xdr:rowOff>93864</xdr:rowOff>
        </xdr:to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8585DAC4-6D5F-4F24-A9AC-598C593F63B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Report_pic_bat" spid="_x0000_s109137"/>
                </a:ext>
              </a:extLst>
            </xdr:cNvPicPr>
          </xdr:nvPicPr>
          <xdr:blipFill rotWithShape="1">
            <a:blip xmlns:r="http://schemas.openxmlformats.org/officeDocument/2006/relationships" r:embed="rId4"/>
            <a:srcRect l="7327" t="3551" r="7327" b="3551"/>
            <a:stretch>
              <a:fillRect/>
            </a:stretch>
          </xdr:blipFill>
          <xdr:spPr bwMode="auto">
            <a:xfrm>
              <a:off x="3789270" y="12931485"/>
              <a:ext cx="2542355" cy="173383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6</xdr:col>
      <xdr:colOff>182879</xdr:colOff>
      <xdr:row>86</xdr:row>
      <xdr:rowOff>140303</xdr:rowOff>
    </xdr:from>
    <xdr:to>
      <xdr:col>9</xdr:col>
      <xdr:colOff>472440</xdr:colOff>
      <xdr:row>93</xdr:row>
      <xdr:rowOff>107993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B8B33D24-8477-A2DC-A803-707D5B682809}"/>
            </a:ext>
          </a:extLst>
        </xdr:cNvPr>
        <xdr:cNvSpPr/>
      </xdr:nvSpPr>
      <xdr:spPr>
        <a:xfrm>
          <a:off x="4535804" y="16466153"/>
          <a:ext cx="2194561" cy="1234515"/>
        </a:xfrm>
        <a:prstGeom prst="rect">
          <a:avLst/>
        </a:prstGeom>
        <a:gradFill flip="none" rotWithShape="1">
          <a:gsLst>
            <a:gs pos="0">
              <a:srgbClr val="3A6FCE"/>
            </a:gs>
            <a:gs pos="39000">
              <a:srgbClr val="2F5CAC"/>
            </a:gs>
            <a:gs pos="100000">
              <a:srgbClr val="1E3E77"/>
            </a:gs>
          </a:gsLst>
          <a:path path="circle">
            <a:fillToRect l="50000" t="50000" r="50000" b="50000"/>
          </a:path>
          <a:tileRect/>
        </a:gra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2000" b="1">
              <a:latin typeface="+mn-lt"/>
            </a:rPr>
            <a:t>Champs PV</a:t>
          </a:r>
        </a:p>
      </xdr:txBody>
    </xdr:sp>
    <xdr:clientData/>
  </xdr:twoCellAnchor>
  <xdr:twoCellAnchor>
    <xdr:from>
      <xdr:col>6</xdr:col>
      <xdr:colOff>178922</xdr:colOff>
      <xdr:row>86</xdr:row>
      <xdr:rowOff>38416</xdr:rowOff>
    </xdr:from>
    <xdr:to>
      <xdr:col>9</xdr:col>
      <xdr:colOff>487408</xdr:colOff>
      <xdr:row>86</xdr:row>
      <xdr:rowOff>38416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6CA73587-34BE-F416-5472-2D6AFA19F7D6}"/>
            </a:ext>
          </a:extLst>
        </xdr:cNvPr>
        <xdr:cNvCxnSpPr/>
      </xdr:nvCxnSpPr>
      <xdr:spPr>
        <a:xfrm>
          <a:off x="4531847" y="16364266"/>
          <a:ext cx="2213486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57642</xdr:colOff>
      <xdr:row>86</xdr:row>
      <xdr:rowOff>142621</xdr:rowOff>
    </xdr:from>
    <xdr:to>
      <xdr:col>6</xdr:col>
      <xdr:colOff>57642</xdr:colOff>
      <xdr:row>93</xdr:row>
      <xdr:rowOff>120837</xdr:rowOff>
    </xdr:to>
    <xdr:cxnSp macro="">
      <xdr:nvCxnSpPr>
        <xdr:cNvPr id="40" name="Straight Arrow Connector 39">
          <a:extLst>
            <a:ext uri="{FF2B5EF4-FFF2-40B4-BE49-F238E27FC236}">
              <a16:creationId xmlns:a16="http://schemas.microsoft.com/office/drawing/2014/main" id="{597A8353-C682-3BC6-D6F9-CCBD5C56DB78}"/>
            </a:ext>
          </a:extLst>
        </xdr:cNvPr>
        <xdr:cNvCxnSpPr/>
      </xdr:nvCxnSpPr>
      <xdr:spPr>
        <a:xfrm>
          <a:off x="4410567" y="16468471"/>
          <a:ext cx="0" cy="124504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352896</xdr:colOff>
      <xdr:row>19</xdr:row>
      <xdr:rowOff>17722</xdr:rowOff>
    </xdr:from>
    <xdr:to>
      <xdr:col>9</xdr:col>
      <xdr:colOff>92141</xdr:colOff>
      <xdr:row>30</xdr:row>
      <xdr:rowOff>22189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C548E0-362E-3376-8DD8-7702E8FD98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87" b="16587"/>
        <a:stretch/>
      </xdr:blipFill>
      <xdr:spPr>
        <a:xfrm>
          <a:off x="352896" y="3715663"/>
          <a:ext cx="6085584" cy="1988132"/>
        </a:xfrm>
        <a:prstGeom prst="rect">
          <a:avLst/>
        </a:prstGeom>
      </xdr:spPr>
    </xdr:pic>
    <xdr:clientData/>
  </xdr:twoCellAnchor>
  <xdr:twoCellAnchor editAs="oneCell">
    <xdr:from>
      <xdr:col>3</xdr:col>
      <xdr:colOff>141882</xdr:colOff>
      <xdr:row>32</xdr:row>
      <xdr:rowOff>62713</xdr:rowOff>
    </xdr:from>
    <xdr:to>
      <xdr:col>4</xdr:col>
      <xdr:colOff>403363</xdr:colOff>
      <xdr:row>38</xdr:row>
      <xdr:rowOff>19922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141E9BA-DD22-F769-4913-0C49ADA04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49441" y="6091478"/>
          <a:ext cx="1109542" cy="1036783"/>
        </a:xfrm>
        <a:prstGeom prst="rect">
          <a:avLst/>
        </a:prstGeom>
      </xdr:spPr>
    </xdr:pic>
    <xdr:clientData/>
  </xdr:twoCellAnchor>
  <xdr:twoCellAnchor editAs="oneCell">
    <xdr:from>
      <xdr:col>5</xdr:col>
      <xdr:colOff>288606</xdr:colOff>
      <xdr:row>32</xdr:row>
      <xdr:rowOff>84424</xdr:rowOff>
    </xdr:from>
    <xdr:to>
      <xdr:col>7</xdr:col>
      <xdr:colOff>18336</xdr:colOff>
      <xdr:row>38</xdr:row>
      <xdr:rowOff>15955</xdr:rowOff>
    </xdr:to>
    <xdr:pic>
      <xdr:nvPicPr>
        <xdr:cNvPr id="16" name="Graphique 37">
          <a:extLst>
            <a:ext uri="{FF2B5EF4-FFF2-40B4-BE49-F238E27FC236}">
              <a16:creationId xmlns:a16="http://schemas.microsoft.com/office/drawing/2014/main" id="{0BB36191-BBB0-7FF6-DC68-2779A57EA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008959" y="6113189"/>
          <a:ext cx="1044628" cy="999675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136994</xdr:colOff>
      <xdr:row>111</xdr:row>
      <xdr:rowOff>49035</xdr:rowOff>
    </xdr:from>
    <xdr:to>
      <xdr:col>2</xdr:col>
      <xdr:colOff>554936</xdr:colOff>
      <xdr:row>117</xdr:row>
      <xdr:rowOff>33130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FC1FBDB3-EA43-4B3B-9758-B8159C33A707}"/>
            </a:ext>
          </a:extLst>
        </xdr:cNvPr>
        <xdr:cNvSpPr/>
      </xdr:nvSpPr>
      <xdr:spPr>
        <a:xfrm>
          <a:off x="136994" y="22221578"/>
          <a:ext cx="1975072" cy="1077400"/>
        </a:xfrm>
        <a:prstGeom prst="rect">
          <a:avLst/>
        </a:prstGeom>
        <a:gradFill flip="none" rotWithShape="1">
          <a:gsLst>
            <a:gs pos="0">
              <a:srgbClr val="3A6FCE"/>
            </a:gs>
            <a:gs pos="39000">
              <a:srgbClr val="2F5CAC"/>
            </a:gs>
            <a:gs pos="100000">
              <a:srgbClr val="1E3E77"/>
            </a:gs>
          </a:gsLst>
          <a:path path="circle">
            <a:fillToRect l="50000" t="50000" r="50000" b="50000"/>
          </a:path>
          <a:tileRect/>
        </a:gra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2000" b="1">
              <a:latin typeface="+mn-lt"/>
            </a:rPr>
            <a:t>Champs PV</a:t>
          </a:r>
        </a:p>
      </xdr:txBody>
    </xdr:sp>
    <xdr:clientData/>
  </xdr:twoCellAnchor>
  <xdr:twoCellAnchor>
    <xdr:from>
      <xdr:col>0</xdr:col>
      <xdr:colOff>131859</xdr:colOff>
      <xdr:row>110</xdr:row>
      <xdr:rowOff>134428</xdr:rowOff>
    </xdr:from>
    <xdr:to>
      <xdr:col>2</xdr:col>
      <xdr:colOff>554935</xdr:colOff>
      <xdr:row>110</xdr:row>
      <xdr:rowOff>140804</xdr:rowOff>
    </xdr:to>
    <xdr:cxnSp macro="">
      <xdr:nvCxnSpPr>
        <xdr:cNvPr id="19" name="Straight Arrow Connector 34">
          <a:extLst>
            <a:ext uri="{FF2B5EF4-FFF2-40B4-BE49-F238E27FC236}">
              <a16:creationId xmlns:a16="http://schemas.microsoft.com/office/drawing/2014/main" id="{7B89A47A-CD3C-4EC7-A96A-4C2E034BBA48}"/>
            </a:ext>
          </a:extLst>
        </xdr:cNvPr>
        <xdr:cNvCxnSpPr/>
      </xdr:nvCxnSpPr>
      <xdr:spPr>
        <a:xfrm>
          <a:off x="131859" y="22124754"/>
          <a:ext cx="1980206" cy="637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3273</xdr:colOff>
      <xdr:row>109</xdr:row>
      <xdr:rowOff>92351</xdr:rowOff>
    </xdr:from>
    <xdr:ext cx="732060" cy="264560"/>
    <xdr:sp macro="" textlink="$H$86">
      <xdr:nvSpPr>
        <xdr:cNvPr id="20" name="ZoneTexte 19">
          <a:extLst>
            <a:ext uri="{FF2B5EF4-FFF2-40B4-BE49-F238E27FC236}">
              <a16:creationId xmlns:a16="http://schemas.microsoft.com/office/drawing/2014/main" id="{4EB019E6-1299-FA93-EB8D-6A41A6765CB9}"/>
            </a:ext>
          </a:extLst>
        </xdr:cNvPr>
        <xdr:cNvSpPr txBox="1"/>
      </xdr:nvSpPr>
      <xdr:spPr>
        <a:xfrm>
          <a:off x="860523" y="20513951"/>
          <a:ext cx="7320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023CF70-B5D5-46D2-9F46-DFEA886EFA16}" type="TxLink">
            <a:rPr lang="en-US" sz="1100" b="1" i="0" u="none" strike="noStrike">
              <a:solidFill>
                <a:srgbClr val="002060"/>
              </a:solidFill>
              <a:latin typeface="Calibri"/>
              <a:ea typeface="Calibri"/>
              <a:cs typeface="Calibri"/>
            </a:rPr>
            <a:pPr/>
            <a:t>7052 mm</a:t>
          </a:fld>
          <a:endParaRPr lang="fr-FR" sz="1100"/>
        </a:p>
      </xdr:txBody>
    </xdr:sp>
    <xdr:clientData/>
  </xdr:oneCellAnchor>
  <xdr:twoCellAnchor>
    <xdr:from>
      <xdr:col>3</xdr:col>
      <xdr:colOff>16565</xdr:colOff>
      <xdr:row>111</xdr:row>
      <xdr:rowOff>37035</xdr:rowOff>
    </xdr:from>
    <xdr:to>
      <xdr:col>3</xdr:col>
      <xdr:colOff>21998</xdr:colOff>
      <xdr:row>117</xdr:row>
      <xdr:rowOff>33130</xdr:rowOff>
    </xdr:to>
    <xdr:cxnSp macro="">
      <xdr:nvCxnSpPr>
        <xdr:cNvPr id="21" name="Straight Arrow Connector 39">
          <a:extLst>
            <a:ext uri="{FF2B5EF4-FFF2-40B4-BE49-F238E27FC236}">
              <a16:creationId xmlns:a16="http://schemas.microsoft.com/office/drawing/2014/main" id="{B5E246DB-B282-4F07-BB76-7546CF1CDC8B}"/>
            </a:ext>
          </a:extLst>
        </xdr:cNvPr>
        <xdr:cNvCxnSpPr/>
      </xdr:nvCxnSpPr>
      <xdr:spPr>
        <a:xfrm flipH="1">
          <a:off x="2219739" y="22209578"/>
          <a:ext cx="5433" cy="10894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34302</xdr:colOff>
      <xdr:row>112</xdr:row>
      <xdr:rowOff>37009</xdr:rowOff>
    </xdr:from>
    <xdr:ext cx="264560" cy="732060"/>
    <xdr:sp macro="" textlink="$F$90">
      <xdr:nvSpPr>
        <xdr:cNvPr id="22" name="ZoneTexte 21">
          <a:extLst>
            <a:ext uri="{FF2B5EF4-FFF2-40B4-BE49-F238E27FC236}">
              <a16:creationId xmlns:a16="http://schemas.microsoft.com/office/drawing/2014/main" id="{77A05A52-90E0-2C66-D232-76ED42A76B27}"/>
            </a:ext>
          </a:extLst>
        </xdr:cNvPr>
        <xdr:cNvSpPr txBox="1"/>
      </xdr:nvSpPr>
      <xdr:spPr>
        <a:xfrm rot="5400000">
          <a:off x="2003726" y="22625520"/>
          <a:ext cx="7320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514B63FA-6BDF-47A2-B9C7-9A944D95A2D0}" type="TxLink">
            <a:rPr lang="en-US" sz="1100" b="1" i="0" u="none" strike="noStrike">
              <a:solidFill>
                <a:srgbClr val="002060"/>
              </a:solidFill>
              <a:latin typeface="Calibri"/>
              <a:ea typeface="Calibri"/>
              <a:cs typeface="Calibri"/>
            </a:rPr>
            <a:pPr/>
            <a:t>3549 mm</a:t>
          </a:fld>
          <a:endParaRPr lang="fr-FR" sz="1100"/>
        </a:p>
      </xdr:txBody>
    </xdr:sp>
    <xdr:clientData/>
  </xdr:oneCellAnchor>
  <xdr:twoCellAnchor editAs="oneCell">
    <xdr:from>
      <xdr:col>2</xdr:col>
      <xdr:colOff>91440</xdr:colOff>
      <xdr:row>11</xdr:row>
      <xdr:rowOff>40005</xdr:rowOff>
    </xdr:from>
    <xdr:to>
      <xdr:col>7</xdr:col>
      <xdr:colOff>398534</xdr:colOff>
      <xdr:row>14</xdr:row>
      <xdr:rowOff>135256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B590123-7496-0195-43E7-49C199229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015" y="2030730"/>
          <a:ext cx="3776099" cy="647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241675</xdr:colOff>
          <xdr:row>104</xdr:row>
          <xdr:rowOff>60396</xdr:rowOff>
        </xdr:from>
        <xdr:to>
          <xdr:col>9</xdr:col>
          <xdr:colOff>435459</xdr:colOff>
          <xdr:row>119</xdr:row>
          <xdr:rowOff>58610</xdr:rowOff>
        </xdr:to>
        <xdr:pic>
          <xdr:nvPicPr>
            <xdr:cNvPr id="2" name="Picture 73">
              <a:extLst>
                <a:ext uri="{FF2B5EF4-FFF2-40B4-BE49-F238E27FC236}">
                  <a16:creationId xmlns:a16="http://schemas.microsoft.com/office/drawing/2014/main" id="{A2D4B622-49C4-45E4-9706-8615F1B72AC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chema_toit" spid="_x0000_s8998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38028" y="19209008"/>
              <a:ext cx="4339288" cy="25705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465595</xdr:colOff>
      <xdr:row>55</xdr:row>
      <xdr:rowOff>146882</xdr:rowOff>
    </xdr:from>
    <xdr:to>
      <xdr:col>2</xdr:col>
      <xdr:colOff>383422</xdr:colOff>
      <xdr:row>64</xdr:row>
      <xdr:rowOff>75087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852AF03-51AA-47FA-8DD5-AED23F3E9A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266"/>
        <a:stretch/>
      </xdr:blipFill>
      <xdr:spPr>
        <a:xfrm>
          <a:off x="467500" y="10784402"/>
          <a:ext cx="1401822" cy="1568410"/>
        </a:xfrm>
        <a:prstGeom prst="rect">
          <a:avLst/>
        </a:prstGeom>
      </xdr:spPr>
    </xdr:pic>
    <xdr:clientData/>
  </xdr:twoCellAnchor>
  <xdr:twoCellAnchor editAs="oneCell">
    <xdr:from>
      <xdr:col>3</xdr:col>
      <xdr:colOff>665180</xdr:colOff>
      <xdr:row>55</xdr:row>
      <xdr:rowOff>128277</xdr:rowOff>
    </xdr:from>
    <xdr:to>
      <xdr:col>5</xdr:col>
      <xdr:colOff>649111</xdr:colOff>
      <xdr:row>64</xdr:row>
      <xdr:rowOff>94080</xdr:rowOff>
    </xdr:to>
    <xdr:pic>
      <xdr:nvPicPr>
        <xdr:cNvPr id="4" name="Image 9">
          <a:extLst>
            <a:ext uri="{FF2B5EF4-FFF2-40B4-BE49-F238E27FC236}">
              <a16:creationId xmlns:a16="http://schemas.microsoft.com/office/drawing/2014/main" id="{30362E37-CDF1-4D7A-AEFA-80A2BCE0F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74015" y="10771512"/>
          <a:ext cx="1389821" cy="160029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642210</xdr:colOff>
          <xdr:row>68</xdr:row>
          <xdr:rowOff>87189</xdr:rowOff>
        </xdr:from>
        <xdr:to>
          <xdr:col>8</xdr:col>
          <xdr:colOff>593464</xdr:colOff>
          <xdr:row>77</xdr:row>
          <xdr:rowOff>59839</xdr:rowOff>
        </xdr:to>
        <xdr:pic>
          <xdr:nvPicPr>
            <xdr:cNvPr id="5" name="Picture 27">
              <a:extLst>
                <a:ext uri="{FF2B5EF4-FFF2-40B4-BE49-F238E27FC236}">
                  <a16:creationId xmlns:a16="http://schemas.microsoft.com/office/drawing/2014/main" id="{DC6705AA-622D-47BF-98CE-3A80337F2AE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Report_pic_bat" spid="_x0000_s89990"/>
                </a:ext>
              </a:extLst>
            </xdr:cNvPicPr>
          </xdr:nvPicPr>
          <xdr:blipFill rotWithShape="1">
            <a:blip xmlns:r="http://schemas.openxmlformats.org/officeDocument/2006/relationships" r:embed="rId4"/>
            <a:srcRect l="7327" t="3551" r="7327" b="3551"/>
            <a:stretch>
              <a:fillRect/>
            </a:stretch>
          </xdr:blipFill>
          <xdr:spPr bwMode="auto">
            <a:xfrm>
              <a:off x="3690210" y="12749836"/>
              <a:ext cx="2551243" cy="163851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6</xdr:col>
      <xdr:colOff>182879</xdr:colOff>
      <xdr:row>86</xdr:row>
      <xdr:rowOff>140303</xdr:rowOff>
    </xdr:from>
    <xdr:to>
      <xdr:col>9</xdr:col>
      <xdr:colOff>472440</xdr:colOff>
      <xdr:row>93</xdr:row>
      <xdr:rowOff>107993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39CE895-08AC-49A3-B8ED-F39148F9EA78}"/>
            </a:ext>
          </a:extLst>
        </xdr:cNvPr>
        <xdr:cNvSpPr/>
      </xdr:nvSpPr>
      <xdr:spPr>
        <a:xfrm>
          <a:off x="4343399" y="16462343"/>
          <a:ext cx="2171701" cy="1236420"/>
        </a:xfrm>
        <a:prstGeom prst="rect">
          <a:avLst/>
        </a:prstGeom>
        <a:gradFill flip="none" rotWithShape="1">
          <a:gsLst>
            <a:gs pos="0">
              <a:srgbClr val="3A6FCE"/>
            </a:gs>
            <a:gs pos="39000">
              <a:srgbClr val="2F5CAC"/>
            </a:gs>
            <a:gs pos="100000">
              <a:srgbClr val="1E3E77"/>
            </a:gs>
          </a:gsLst>
          <a:path path="circle">
            <a:fillToRect l="50000" t="50000" r="50000" b="50000"/>
          </a:path>
          <a:tileRect/>
        </a:gra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2000" b="1">
              <a:latin typeface="+mn-lt"/>
            </a:rPr>
            <a:t>Champs PV</a:t>
          </a:r>
        </a:p>
      </xdr:txBody>
    </xdr:sp>
    <xdr:clientData/>
  </xdr:twoCellAnchor>
  <xdr:twoCellAnchor>
    <xdr:from>
      <xdr:col>6</xdr:col>
      <xdr:colOff>178922</xdr:colOff>
      <xdr:row>86</xdr:row>
      <xdr:rowOff>38416</xdr:rowOff>
    </xdr:from>
    <xdr:to>
      <xdr:col>9</xdr:col>
      <xdr:colOff>487408</xdr:colOff>
      <xdr:row>86</xdr:row>
      <xdr:rowOff>38416</xdr:rowOff>
    </xdr:to>
    <xdr:cxnSp macro="">
      <xdr:nvCxnSpPr>
        <xdr:cNvPr id="7" name="Straight Arrow Connector 34">
          <a:extLst>
            <a:ext uri="{FF2B5EF4-FFF2-40B4-BE49-F238E27FC236}">
              <a16:creationId xmlns:a16="http://schemas.microsoft.com/office/drawing/2014/main" id="{5F7709A4-C800-45E9-8AFE-F2CA07F422C4}"/>
            </a:ext>
          </a:extLst>
        </xdr:cNvPr>
        <xdr:cNvCxnSpPr/>
      </xdr:nvCxnSpPr>
      <xdr:spPr>
        <a:xfrm>
          <a:off x="4337537" y="16364266"/>
          <a:ext cx="2186816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57642</xdr:colOff>
      <xdr:row>86</xdr:row>
      <xdr:rowOff>142621</xdr:rowOff>
    </xdr:from>
    <xdr:to>
      <xdr:col>6</xdr:col>
      <xdr:colOff>57642</xdr:colOff>
      <xdr:row>93</xdr:row>
      <xdr:rowOff>120837</xdr:rowOff>
    </xdr:to>
    <xdr:cxnSp macro="">
      <xdr:nvCxnSpPr>
        <xdr:cNvPr id="8" name="Straight Arrow Connector 39">
          <a:extLst>
            <a:ext uri="{FF2B5EF4-FFF2-40B4-BE49-F238E27FC236}">
              <a16:creationId xmlns:a16="http://schemas.microsoft.com/office/drawing/2014/main" id="{001170DE-F7D5-41A9-BF2F-482F4A3E3787}"/>
            </a:ext>
          </a:extLst>
        </xdr:cNvPr>
        <xdr:cNvCxnSpPr/>
      </xdr:nvCxnSpPr>
      <xdr:spPr>
        <a:xfrm>
          <a:off x="4216257" y="16466566"/>
          <a:ext cx="0" cy="124885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303398</xdr:colOff>
      <xdr:row>32</xdr:row>
      <xdr:rowOff>92493</xdr:rowOff>
    </xdr:from>
    <xdr:to>
      <xdr:col>7</xdr:col>
      <xdr:colOff>1415</xdr:colOff>
      <xdr:row>38</xdr:row>
      <xdr:rowOff>20436</xdr:rowOff>
    </xdr:to>
    <xdr:pic>
      <xdr:nvPicPr>
        <xdr:cNvPr id="12" name="Graphique 37">
          <a:extLst>
            <a:ext uri="{FF2B5EF4-FFF2-40B4-BE49-F238E27FC236}">
              <a16:creationId xmlns:a16="http://schemas.microsoft.com/office/drawing/2014/main" id="{5B613AF7-D1BB-4B66-BA4E-2F5AB292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4023751" y="6121258"/>
          <a:ext cx="1009105" cy="988467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136994</xdr:colOff>
      <xdr:row>113</xdr:row>
      <xdr:rowOff>49035</xdr:rowOff>
    </xdr:from>
    <xdr:to>
      <xdr:col>2</xdr:col>
      <xdr:colOff>554936</xdr:colOff>
      <xdr:row>119</xdr:row>
      <xdr:rowOff>33130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5CD05A56-6B2A-493B-8B0A-B3C3B1BAD51E}"/>
            </a:ext>
          </a:extLst>
        </xdr:cNvPr>
        <xdr:cNvSpPr/>
      </xdr:nvSpPr>
      <xdr:spPr>
        <a:xfrm>
          <a:off x="133184" y="21091665"/>
          <a:ext cx="1903842" cy="1066135"/>
        </a:xfrm>
        <a:prstGeom prst="rect">
          <a:avLst/>
        </a:prstGeom>
        <a:gradFill flip="none" rotWithShape="1">
          <a:gsLst>
            <a:gs pos="0">
              <a:srgbClr val="3A6FCE"/>
            </a:gs>
            <a:gs pos="39000">
              <a:srgbClr val="2F5CAC"/>
            </a:gs>
            <a:gs pos="100000">
              <a:srgbClr val="1E3E77"/>
            </a:gs>
          </a:gsLst>
          <a:path path="circle">
            <a:fillToRect l="50000" t="50000" r="50000" b="50000"/>
          </a:path>
          <a:tileRect/>
        </a:gra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2000" b="1">
              <a:latin typeface="+mn-lt"/>
            </a:rPr>
            <a:t>Champs PV</a:t>
          </a:r>
        </a:p>
      </xdr:txBody>
    </xdr:sp>
    <xdr:clientData/>
  </xdr:twoCellAnchor>
  <xdr:twoCellAnchor>
    <xdr:from>
      <xdr:col>0</xdr:col>
      <xdr:colOff>131859</xdr:colOff>
      <xdr:row>112</xdr:row>
      <xdr:rowOff>134428</xdr:rowOff>
    </xdr:from>
    <xdr:to>
      <xdr:col>2</xdr:col>
      <xdr:colOff>554935</xdr:colOff>
      <xdr:row>112</xdr:row>
      <xdr:rowOff>140804</xdr:rowOff>
    </xdr:to>
    <xdr:cxnSp macro="">
      <xdr:nvCxnSpPr>
        <xdr:cNvPr id="14" name="Straight Arrow Connector 34">
          <a:extLst>
            <a:ext uri="{FF2B5EF4-FFF2-40B4-BE49-F238E27FC236}">
              <a16:creationId xmlns:a16="http://schemas.microsoft.com/office/drawing/2014/main" id="{3672AE7C-BB1C-40EB-9F0D-890AF1697376}"/>
            </a:ext>
          </a:extLst>
        </xdr:cNvPr>
        <xdr:cNvCxnSpPr/>
      </xdr:nvCxnSpPr>
      <xdr:spPr>
        <a:xfrm>
          <a:off x="135669" y="20990368"/>
          <a:ext cx="1901356" cy="637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3273</xdr:colOff>
      <xdr:row>111</xdr:row>
      <xdr:rowOff>92351</xdr:rowOff>
    </xdr:from>
    <xdr:ext cx="732060" cy="264560"/>
    <xdr:sp macro="" textlink="$H$86">
      <xdr:nvSpPr>
        <xdr:cNvPr id="15" name="ZoneTexte 14">
          <a:extLst>
            <a:ext uri="{FF2B5EF4-FFF2-40B4-BE49-F238E27FC236}">
              <a16:creationId xmlns:a16="http://schemas.microsoft.com/office/drawing/2014/main" id="{74157469-EA1F-4472-A6F1-0BFA27B2FC9E}"/>
            </a:ext>
          </a:extLst>
        </xdr:cNvPr>
        <xdr:cNvSpPr txBox="1"/>
      </xdr:nvSpPr>
      <xdr:spPr>
        <a:xfrm>
          <a:off x="860523" y="20733026"/>
          <a:ext cx="7320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023CF70-B5D5-46D2-9F46-DFEA886EFA16}" type="TxLink">
            <a:rPr lang="en-US" sz="1100" b="1" i="0" u="none" strike="noStrike">
              <a:solidFill>
                <a:srgbClr val="002060"/>
              </a:solidFill>
              <a:latin typeface="Calibri"/>
              <a:ea typeface="Calibri"/>
              <a:cs typeface="Calibri"/>
            </a:rPr>
            <a:pPr/>
            <a:t>7052 mm</a:t>
          </a:fld>
          <a:endParaRPr lang="fr-FR" sz="1100"/>
        </a:p>
      </xdr:txBody>
    </xdr:sp>
    <xdr:clientData/>
  </xdr:oneCellAnchor>
  <xdr:twoCellAnchor>
    <xdr:from>
      <xdr:col>3</xdr:col>
      <xdr:colOff>16565</xdr:colOff>
      <xdr:row>113</xdr:row>
      <xdr:rowOff>37035</xdr:rowOff>
    </xdr:from>
    <xdr:to>
      <xdr:col>3</xdr:col>
      <xdr:colOff>21998</xdr:colOff>
      <xdr:row>119</xdr:row>
      <xdr:rowOff>33130</xdr:rowOff>
    </xdr:to>
    <xdr:cxnSp macro="">
      <xdr:nvCxnSpPr>
        <xdr:cNvPr id="16" name="Straight Arrow Connector 39">
          <a:extLst>
            <a:ext uri="{FF2B5EF4-FFF2-40B4-BE49-F238E27FC236}">
              <a16:creationId xmlns:a16="http://schemas.microsoft.com/office/drawing/2014/main" id="{16EDA298-637A-48A6-A7F5-CAD37793265C}"/>
            </a:ext>
          </a:extLst>
        </xdr:cNvPr>
        <xdr:cNvCxnSpPr/>
      </xdr:nvCxnSpPr>
      <xdr:spPr>
        <a:xfrm flipH="1">
          <a:off x="2125400" y="21077760"/>
          <a:ext cx="0" cy="108004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34302</xdr:colOff>
      <xdr:row>114</xdr:row>
      <xdr:rowOff>37009</xdr:rowOff>
    </xdr:from>
    <xdr:ext cx="264560" cy="732060"/>
    <xdr:sp macro="" textlink="$F$90">
      <xdr:nvSpPr>
        <xdr:cNvPr id="17" name="ZoneTexte 16">
          <a:extLst>
            <a:ext uri="{FF2B5EF4-FFF2-40B4-BE49-F238E27FC236}">
              <a16:creationId xmlns:a16="http://schemas.microsoft.com/office/drawing/2014/main" id="{13D10130-4AAA-4C48-B1B7-9962EDD2D1F8}"/>
            </a:ext>
          </a:extLst>
        </xdr:cNvPr>
        <xdr:cNvSpPr txBox="1"/>
      </xdr:nvSpPr>
      <xdr:spPr>
        <a:xfrm rot="5400000">
          <a:off x="1905577" y="21492459"/>
          <a:ext cx="7320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514B63FA-6BDF-47A2-B9C7-9A944D95A2D0}" type="TxLink">
            <a:rPr lang="en-US" sz="1100" b="1" i="0" u="none" strike="noStrike">
              <a:solidFill>
                <a:srgbClr val="002060"/>
              </a:solidFill>
              <a:latin typeface="Calibri"/>
              <a:ea typeface="Calibri"/>
              <a:cs typeface="Calibri"/>
            </a:rPr>
            <a:pPr/>
            <a:t>3549 mm</a:t>
          </a:fld>
          <a:endParaRPr lang="fr-FR" sz="1100"/>
        </a:p>
      </xdr:txBody>
    </xdr:sp>
    <xdr:clientData/>
  </xdr:oneCellAnchor>
  <xdr:twoCellAnchor editAs="oneCell">
    <xdr:from>
      <xdr:col>2</xdr:col>
      <xdr:colOff>421005</xdr:colOff>
      <xdr:row>19</xdr:row>
      <xdr:rowOff>7620</xdr:rowOff>
    </xdr:from>
    <xdr:to>
      <xdr:col>7</xdr:col>
      <xdr:colOff>112059</xdr:colOff>
      <xdr:row>31</xdr:row>
      <xdr:rowOff>15521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9C626BBB-AA9F-4362-B3B1-02681CA1A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31" t="11023" r="11972" b="17294"/>
        <a:stretch>
          <a:fillRect/>
        </a:stretch>
      </xdr:blipFill>
      <xdr:spPr>
        <a:xfrm>
          <a:off x="1978623" y="3705561"/>
          <a:ext cx="3164877" cy="2155621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11</xdr:row>
      <xdr:rowOff>26783</xdr:rowOff>
    </xdr:from>
    <xdr:to>
      <xdr:col>7</xdr:col>
      <xdr:colOff>288424</xdr:colOff>
      <xdr:row>14</xdr:row>
      <xdr:rowOff>129878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92CD858D-8645-B511-4060-41BD601A4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768" y="1999018"/>
          <a:ext cx="3324097" cy="635263"/>
        </a:xfrm>
        <a:prstGeom prst="rect">
          <a:avLst/>
        </a:prstGeom>
      </xdr:spPr>
    </xdr:pic>
    <xdr:clientData/>
  </xdr:twoCellAnchor>
  <xdr:twoCellAnchor editAs="oneCell">
    <xdr:from>
      <xdr:col>3</xdr:col>
      <xdr:colOff>149265</xdr:colOff>
      <xdr:row>32</xdr:row>
      <xdr:rowOff>9525</xdr:rowOff>
    </xdr:from>
    <xdr:to>
      <xdr:col>4</xdr:col>
      <xdr:colOff>399721</xdr:colOff>
      <xdr:row>38</xdr:row>
      <xdr:rowOff>17038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9381BD76-B1BD-7D3C-F09A-6AF35A558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56824" y="6038290"/>
          <a:ext cx="1090897" cy="10737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9908</xdr:colOff>
      <xdr:row>15</xdr:row>
      <xdr:rowOff>169939</xdr:rowOff>
    </xdr:from>
    <xdr:to>
      <xdr:col>13</xdr:col>
      <xdr:colOff>180474</xdr:colOff>
      <xdr:row>15</xdr:row>
      <xdr:rowOff>169939</xdr:rowOff>
    </xdr:to>
    <xdr:cxnSp macro="">
      <xdr:nvCxnSpPr>
        <xdr:cNvPr id="23" name="Connecteur droit avec flèche 5">
          <a:extLst>
            <a:ext uri="{FF2B5EF4-FFF2-40B4-BE49-F238E27FC236}">
              <a16:creationId xmlns:a16="http://schemas.microsoft.com/office/drawing/2014/main" id="{74FB6018-688F-4020-AA04-70D7507D73C4}"/>
            </a:ext>
          </a:extLst>
        </xdr:cNvPr>
        <xdr:cNvCxnSpPr/>
      </xdr:nvCxnSpPr>
      <xdr:spPr>
        <a:xfrm flipV="1">
          <a:off x="7155563" y="12813424"/>
          <a:ext cx="738256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30173</xdr:colOff>
      <xdr:row>15</xdr:row>
      <xdr:rowOff>169419</xdr:rowOff>
    </xdr:from>
    <xdr:to>
      <xdr:col>17</xdr:col>
      <xdr:colOff>1429</xdr:colOff>
      <xdr:row>15</xdr:row>
      <xdr:rowOff>169419</xdr:rowOff>
    </xdr:to>
    <xdr:cxnSp macro="">
      <xdr:nvCxnSpPr>
        <xdr:cNvPr id="24" name="Connecteur droit avec flèche 10">
          <a:extLst>
            <a:ext uri="{FF2B5EF4-FFF2-40B4-BE49-F238E27FC236}">
              <a16:creationId xmlns:a16="http://schemas.microsoft.com/office/drawing/2014/main" id="{8E775756-6D67-4A0E-B72B-8A2637DCC9D4}"/>
            </a:ext>
          </a:extLst>
        </xdr:cNvPr>
        <xdr:cNvCxnSpPr/>
      </xdr:nvCxnSpPr>
      <xdr:spPr>
        <a:xfrm flipV="1">
          <a:off x="10220018" y="12812904"/>
          <a:ext cx="735161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7855</xdr:colOff>
      <xdr:row>15</xdr:row>
      <xdr:rowOff>166649</xdr:rowOff>
    </xdr:from>
    <xdr:to>
      <xdr:col>15</xdr:col>
      <xdr:colOff>9155</xdr:colOff>
      <xdr:row>15</xdr:row>
      <xdr:rowOff>166649</xdr:rowOff>
    </xdr:to>
    <xdr:cxnSp macro="">
      <xdr:nvCxnSpPr>
        <xdr:cNvPr id="25" name="Connecteur droit avec flèche 11">
          <a:extLst>
            <a:ext uri="{FF2B5EF4-FFF2-40B4-BE49-F238E27FC236}">
              <a16:creationId xmlns:a16="http://schemas.microsoft.com/office/drawing/2014/main" id="{8E22D021-F48F-4024-99F1-C9EDE4C86E88}"/>
            </a:ext>
          </a:extLst>
        </xdr:cNvPr>
        <xdr:cNvCxnSpPr/>
      </xdr:nvCxnSpPr>
      <xdr:spPr>
        <a:xfrm>
          <a:off x="7915510" y="12810134"/>
          <a:ext cx="22873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626333</xdr:colOff>
      <xdr:row>7</xdr:row>
      <xdr:rowOff>96572</xdr:rowOff>
    </xdr:from>
    <xdr:to>
      <xdr:col>16</xdr:col>
      <xdr:colOff>9293</xdr:colOff>
      <xdr:row>7</xdr:row>
      <xdr:rowOff>102219</xdr:rowOff>
    </xdr:to>
    <xdr:cxnSp macro="">
      <xdr:nvCxnSpPr>
        <xdr:cNvPr id="26" name="Connecteur droit avec flèche 14">
          <a:extLst>
            <a:ext uri="{FF2B5EF4-FFF2-40B4-BE49-F238E27FC236}">
              <a16:creationId xmlns:a16="http://schemas.microsoft.com/office/drawing/2014/main" id="{E95304D8-5AB7-488D-949C-620DD20FC9C7}"/>
            </a:ext>
          </a:extLst>
        </xdr:cNvPr>
        <xdr:cNvCxnSpPr/>
      </xdr:nvCxnSpPr>
      <xdr:spPr>
        <a:xfrm>
          <a:off x="7716743" y="11284637"/>
          <a:ext cx="2676705" cy="564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350381</xdr:colOff>
      <xdr:row>4</xdr:row>
      <xdr:rowOff>172751</xdr:rowOff>
    </xdr:from>
    <xdr:to>
      <xdr:col>14</xdr:col>
      <xdr:colOff>367061</xdr:colOff>
      <xdr:row>13</xdr:row>
      <xdr:rowOff>4646</xdr:rowOff>
    </xdr:to>
    <xdr:cxnSp macro="">
      <xdr:nvCxnSpPr>
        <xdr:cNvPr id="27" name="Connecteur droit avec flèche 17">
          <a:extLst>
            <a:ext uri="{FF2B5EF4-FFF2-40B4-BE49-F238E27FC236}">
              <a16:creationId xmlns:a16="http://schemas.microsoft.com/office/drawing/2014/main" id="{E3433A2D-0225-45B2-8C7C-B8324E82E323}"/>
            </a:ext>
          </a:extLst>
        </xdr:cNvPr>
        <xdr:cNvCxnSpPr/>
      </xdr:nvCxnSpPr>
      <xdr:spPr>
        <a:xfrm>
          <a:off x="8258036" y="10817891"/>
          <a:ext cx="10965" cy="146638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779779</xdr:colOff>
      <xdr:row>10</xdr:row>
      <xdr:rowOff>18296</xdr:rowOff>
    </xdr:from>
    <xdr:to>
      <xdr:col>13</xdr:col>
      <xdr:colOff>9293</xdr:colOff>
      <xdr:row>10</xdr:row>
      <xdr:rowOff>18585</xdr:rowOff>
    </xdr:to>
    <xdr:cxnSp macro="">
      <xdr:nvCxnSpPr>
        <xdr:cNvPr id="28" name="Connecteur droit avec flèche 20">
          <a:extLst>
            <a:ext uri="{FF2B5EF4-FFF2-40B4-BE49-F238E27FC236}">
              <a16:creationId xmlns:a16="http://schemas.microsoft.com/office/drawing/2014/main" id="{BA57C68A-C04D-4CA5-95BE-5C74D70285C5}"/>
            </a:ext>
          </a:extLst>
        </xdr:cNvPr>
        <xdr:cNvCxnSpPr/>
      </xdr:nvCxnSpPr>
      <xdr:spPr>
        <a:xfrm>
          <a:off x="7136764" y="11756906"/>
          <a:ext cx="589684" cy="28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746197</xdr:colOff>
      <xdr:row>1</xdr:row>
      <xdr:rowOff>48453</xdr:rowOff>
    </xdr:from>
    <xdr:to>
      <xdr:col>14</xdr:col>
      <xdr:colOff>1619231</xdr:colOff>
      <xdr:row>2</xdr:row>
      <xdr:rowOff>2628</xdr:rowOff>
    </xdr:to>
    <xdr:sp macro="" textlink="toit_long">
      <xdr:nvSpPr>
        <xdr:cNvPr id="29" name="Rectangle 28">
          <a:extLst>
            <a:ext uri="{FF2B5EF4-FFF2-40B4-BE49-F238E27FC236}">
              <a16:creationId xmlns:a16="http://schemas.microsoft.com/office/drawing/2014/main" id="{5E29F528-8649-46BE-B535-7FF4E25BDFF8}"/>
            </a:ext>
          </a:extLst>
        </xdr:cNvPr>
        <xdr:cNvSpPr/>
      </xdr:nvSpPr>
      <xdr:spPr>
        <a:xfrm>
          <a:off x="14281222" y="277053"/>
          <a:ext cx="873034" cy="1351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67BD829-E543-4B54-AD73-36FBCFB85C1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17,49 m</a:t>
          </a:fld>
          <a:endParaRPr lang="en-US" sz="1100"/>
        </a:p>
      </xdr:txBody>
    </xdr:sp>
    <xdr:clientData/>
  </xdr:twoCellAnchor>
  <xdr:twoCellAnchor>
    <xdr:from>
      <xdr:col>11</xdr:col>
      <xdr:colOff>692791</xdr:colOff>
      <xdr:row>10</xdr:row>
      <xdr:rowOff>44557</xdr:rowOff>
    </xdr:from>
    <xdr:to>
      <xdr:col>13</xdr:col>
      <xdr:colOff>116843</xdr:colOff>
      <xdr:row>11</xdr:row>
      <xdr:rowOff>23057</xdr:rowOff>
    </xdr:to>
    <xdr:sp macro="" textlink="toit_dim90_e10_proj">
      <xdr:nvSpPr>
        <xdr:cNvPr id="30" name="Rectangle 29">
          <a:extLst>
            <a:ext uri="{FF2B5EF4-FFF2-40B4-BE49-F238E27FC236}">
              <a16:creationId xmlns:a16="http://schemas.microsoft.com/office/drawing/2014/main" id="{B71B27EE-6840-4203-8524-2C166D09C5A3}"/>
            </a:ext>
          </a:extLst>
        </xdr:cNvPr>
        <xdr:cNvSpPr/>
      </xdr:nvSpPr>
      <xdr:spPr>
        <a:xfrm>
          <a:off x="7047871" y="11781262"/>
          <a:ext cx="784222" cy="1537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FBDE719-9455-44E8-9B92-314F22D365F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1,20m</a:t>
          </a:fld>
          <a:endParaRPr lang="en-US" sz="1100"/>
        </a:p>
      </xdr:txBody>
    </xdr:sp>
    <xdr:clientData/>
  </xdr:twoCellAnchor>
  <xdr:twoCellAnchor>
    <xdr:from>
      <xdr:col>11</xdr:col>
      <xdr:colOff>780093</xdr:colOff>
      <xdr:row>16</xdr:row>
      <xdr:rowOff>109487</xdr:rowOff>
    </xdr:from>
    <xdr:to>
      <xdr:col>14</xdr:col>
      <xdr:colOff>19360</xdr:colOff>
      <xdr:row>17</xdr:row>
      <xdr:rowOff>74652</xdr:rowOff>
    </xdr:to>
    <xdr:sp macro="" textlink="toit_dim0_e4_proj">
      <xdr:nvSpPr>
        <xdr:cNvPr id="31" name="Rectangle 30">
          <a:extLst>
            <a:ext uri="{FF2B5EF4-FFF2-40B4-BE49-F238E27FC236}">
              <a16:creationId xmlns:a16="http://schemas.microsoft.com/office/drawing/2014/main" id="{34741562-CFF7-425F-B47E-2B4E8B2FEA55}"/>
            </a:ext>
          </a:extLst>
        </xdr:cNvPr>
        <xdr:cNvSpPr/>
      </xdr:nvSpPr>
      <xdr:spPr>
        <a:xfrm>
          <a:off x="12649071" y="3356270"/>
          <a:ext cx="904072" cy="14738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98BDD2C-FB32-40A0-A0B1-81ABB0D8958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4,26m</a:t>
          </a:fld>
          <a:endParaRPr lang="en-US" sz="1100"/>
        </a:p>
      </xdr:txBody>
    </xdr:sp>
    <xdr:clientData/>
  </xdr:twoCellAnchor>
  <xdr:twoCellAnchor>
    <xdr:from>
      <xdr:col>15</xdr:col>
      <xdr:colOff>21415</xdr:colOff>
      <xdr:row>16</xdr:row>
      <xdr:rowOff>88913</xdr:rowOff>
    </xdr:from>
    <xdr:to>
      <xdr:col>17</xdr:col>
      <xdr:colOff>58482</xdr:colOff>
      <xdr:row>17</xdr:row>
      <xdr:rowOff>67413</xdr:rowOff>
    </xdr:to>
    <xdr:sp macro="" textlink="toit_dim0_e4_proj">
      <xdr:nvSpPr>
        <xdr:cNvPr id="32" name="Rectangle 31">
          <a:extLst>
            <a:ext uri="{FF2B5EF4-FFF2-40B4-BE49-F238E27FC236}">
              <a16:creationId xmlns:a16="http://schemas.microsoft.com/office/drawing/2014/main" id="{90FAB214-2D5A-4FC5-8D9D-0D1976DF387A}"/>
            </a:ext>
          </a:extLst>
        </xdr:cNvPr>
        <xdr:cNvSpPr/>
      </xdr:nvSpPr>
      <xdr:spPr>
        <a:xfrm>
          <a:off x="15824632" y="3335696"/>
          <a:ext cx="973002" cy="1607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E503CEA-9CF0-4718-93A7-24A11231000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4,26m</a:t>
          </a:fld>
          <a:endParaRPr lang="en-US" sz="1100"/>
        </a:p>
      </xdr:txBody>
    </xdr:sp>
    <xdr:clientData/>
  </xdr:twoCellAnchor>
  <xdr:twoCellAnchor>
    <xdr:from>
      <xdr:col>16</xdr:col>
      <xdr:colOff>5013</xdr:colOff>
      <xdr:row>10</xdr:row>
      <xdr:rowOff>55240</xdr:rowOff>
    </xdr:from>
    <xdr:to>
      <xdr:col>17</xdr:col>
      <xdr:colOff>16059</xdr:colOff>
      <xdr:row>10</xdr:row>
      <xdr:rowOff>60158</xdr:rowOff>
    </xdr:to>
    <xdr:cxnSp macro="">
      <xdr:nvCxnSpPr>
        <xdr:cNvPr id="33" name="Connecteur droit avec flèche 26">
          <a:extLst>
            <a:ext uri="{FF2B5EF4-FFF2-40B4-BE49-F238E27FC236}">
              <a16:creationId xmlns:a16="http://schemas.microsoft.com/office/drawing/2014/main" id="{93932D16-4039-4308-B5AA-DD43DE4EFE1A}"/>
            </a:ext>
          </a:extLst>
        </xdr:cNvPr>
        <xdr:cNvCxnSpPr/>
      </xdr:nvCxnSpPr>
      <xdr:spPr>
        <a:xfrm flipV="1">
          <a:off x="16097250" y="1960240"/>
          <a:ext cx="657743" cy="491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97972</xdr:colOff>
      <xdr:row>10</xdr:row>
      <xdr:rowOff>77402</xdr:rowOff>
    </xdr:from>
    <xdr:to>
      <xdr:col>17</xdr:col>
      <xdr:colOff>102654</xdr:colOff>
      <xdr:row>11</xdr:row>
      <xdr:rowOff>50187</xdr:rowOff>
    </xdr:to>
    <xdr:sp macro="" textlink="toit_dim90_e10_proj">
      <xdr:nvSpPr>
        <xdr:cNvPr id="34" name="Rectangle 33">
          <a:extLst>
            <a:ext uri="{FF2B5EF4-FFF2-40B4-BE49-F238E27FC236}">
              <a16:creationId xmlns:a16="http://schemas.microsoft.com/office/drawing/2014/main" id="{D2641465-F0D1-4DBC-8FDE-05CB969F59ED}"/>
            </a:ext>
          </a:extLst>
        </xdr:cNvPr>
        <xdr:cNvSpPr/>
      </xdr:nvSpPr>
      <xdr:spPr>
        <a:xfrm>
          <a:off x="10285912" y="11812202"/>
          <a:ext cx="766682" cy="1575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64A4B6F-48D2-43D5-AAC5-1B96141460C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1,20m</a:t>
          </a:fld>
          <a:endParaRPr lang="en-US" sz="1100"/>
        </a:p>
      </xdr:txBody>
    </xdr:sp>
    <xdr:clientData/>
  </xdr:twoCellAnchor>
  <xdr:twoCellAnchor>
    <xdr:from>
      <xdr:col>14</xdr:col>
      <xdr:colOff>790472</xdr:colOff>
      <xdr:row>6</xdr:row>
      <xdr:rowOff>90540</xdr:rowOff>
    </xdr:from>
    <xdr:to>
      <xdr:col>14</xdr:col>
      <xdr:colOff>1557154</xdr:colOff>
      <xdr:row>7</xdr:row>
      <xdr:rowOff>67135</xdr:rowOff>
    </xdr:to>
    <xdr:sp macro="" textlink="Dim_centre_long">
      <xdr:nvSpPr>
        <xdr:cNvPr id="35" name="Rectangle 34">
          <a:extLst>
            <a:ext uri="{FF2B5EF4-FFF2-40B4-BE49-F238E27FC236}">
              <a16:creationId xmlns:a16="http://schemas.microsoft.com/office/drawing/2014/main" id="{90E11AD9-792D-4623-A240-B5796A4D8944}"/>
            </a:ext>
          </a:extLst>
        </xdr:cNvPr>
        <xdr:cNvSpPr/>
      </xdr:nvSpPr>
      <xdr:spPr>
        <a:xfrm>
          <a:off x="8694317" y="11105250"/>
          <a:ext cx="766682" cy="15185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E5B8F0D-B0A1-48ED-81E8-E40F9EB3F6E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15,09m</a:t>
          </a:fld>
          <a:endParaRPr lang="en-US" sz="1100"/>
        </a:p>
      </xdr:txBody>
    </xdr:sp>
    <xdr:clientData/>
  </xdr:twoCellAnchor>
  <xdr:twoCellAnchor>
    <xdr:from>
      <xdr:col>14</xdr:col>
      <xdr:colOff>163615</xdr:colOff>
      <xdr:row>7</xdr:row>
      <xdr:rowOff>64311</xdr:rowOff>
    </xdr:from>
    <xdr:to>
      <xdr:col>14</xdr:col>
      <xdr:colOff>320331</xdr:colOff>
      <xdr:row>11</xdr:row>
      <xdr:rowOff>97174</xdr:rowOff>
    </xdr:to>
    <xdr:sp macro="" textlink="Dim_centre_haut_MP">
      <xdr:nvSpPr>
        <xdr:cNvPr id="36" name="Rectangle 35">
          <a:extLst>
            <a:ext uri="{FF2B5EF4-FFF2-40B4-BE49-F238E27FC236}">
              <a16:creationId xmlns:a16="http://schemas.microsoft.com/office/drawing/2014/main" id="{3642835E-774E-4394-B26E-1FD58214E40D}"/>
            </a:ext>
          </a:extLst>
        </xdr:cNvPr>
        <xdr:cNvSpPr/>
      </xdr:nvSpPr>
      <xdr:spPr>
        <a:xfrm rot="16200000">
          <a:off x="7772199" y="11551447"/>
          <a:ext cx="756763" cy="15862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1BB3351-B1AD-4BE1-ADBF-1326C075D54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2,59m</a:t>
          </a:fld>
          <a:endParaRPr lang="en-US" sz="1100"/>
        </a:p>
      </xdr:txBody>
    </xdr:sp>
    <xdr:clientData/>
  </xdr:twoCellAnchor>
  <xdr:twoCellAnchor>
    <xdr:from>
      <xdr:col>12</xdr:col>
      <xdr:colOff>19492</xdr:colOff>
      <xdr:row>2</xdr:row>
      <xdr:rowOff>30480</xdr:rowOff>
    </xdr:from>
    <xdr:to>
      <xdr:col>16</xdr:col>
      <xdr:colOff>563880</xdr:colOff>
      <xdr:row>2</xdr:row>
      <xdr:rowOff>30771</xdr:rowOff>
    </xdr:to>
    <xdr:cxnSp macro="">
      <xdr:nvCxnSpPr>
        <xdr:cNvPr id="37" name="Connecteur droit avec flèche 30">
          <a:extLst>
            <a:ext uri="{FF2B5EF4-FFF2-40B4-BE49-F238E27FC236}">
              <a16:creationId xmlns:a16="http://schemas.microsoft.com/office/drawing/2014/main" id="{FB2DEC64-3531-4828-8526-38DB78C575ED}"/>
            </a:ext>
          </a:extLst>
        </xdr:cNvPr>
        <xdr:cNvCxnSpPr/>
      </xdr:nvCxnSpPr>
      <xdr:spPr>
        <a:xfrm flipV="1">
          <a:off x="12173392" y="441960"/>
          <a:ext cx="3965768" cy="29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390522</xdr:colOff>
      <xdr:row>3</xdr:row>
      <xdr:rowOff>17962</xdr:rowOff>
    </xdr:from>
    <xdr:to>
      <xdr:col>11</xdr:col>
      <xdr:colOff>395186</xdr:colOff>
      <xdr:row>15</xdr:row>
      <xdr:rowOff>17962</xdr:rowOff>
    </xdr:to>
    <xdr:cxnSp macro="">
      <xdr:nvCxnSpPr>
        <xdr:cNvPr id="38" name="Connecteur droit avec flèche 32">
          <a:extLst>
            <a:ext uri="{FF2B5EF4-FFF2-40B4-BE49-F238E27FC236}">
              <a16:creationId xmlns:a16="http://schemas.microsoft.com/office/drawing/2014/main" id="{4B8CD2C2-2978-453E-B7C7-EA25A826CBC6}"/>
            </a:ext>
          </a:extLst>
        </xdr:cNvPr>
        <xdr:cNvCxnSpPr/>
      </xdr:nvCxnSpPr>
      <xdr:spPr>
        <a:xfrm>
          <a:off x="6745602" y="10489747"/>
          <a:ext cx="6569" cy="2171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162054</xdr:colOff>
      <xdr:row>6</xdr:row>
      <xdr:rowOff>152870</xdr:rowOff>
    </xdr:from>
    <xdr:to>
      <xdr:col>11</xdr:col>
      <xdr:colOff>314960</xdr:colOff>
      <xdr:row>11</xdr:row>
      <xdr:rowOff>6119</xdr:rowOff>
    </xdr:to>
    <xdr:sp macro="" textlink="toit_ramp">
      <xdr:nvSpPr>
        <xdr:cNvPr id="39" name="Rectangle 38">
          <a:extLst>
            <a:ext uri="{FF2B5EF4-FFF2-40B4-BE49-F238E27FC236}">
              <a16:creationId xmlns:a16="http://schemas.microsoft.com/office/drawing/2014/main" id="{F7889BC1-E4E2-488A-B447-5379240C5A40}"/>
            </a:ext>
          </a:extLst>
        </xdr:cNvPr>
        <xdr:cNvSpPr/>
      </xdr:nvSpPr>
      <xdr:spPr>
        <a:xfrm rot="16200000">
          <a:off x="11627582" y="1740402"/>
          <a:ext cx="950529" cy="15290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FBC1BCC-E69C-480B-BAAD-5688B45CDE1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6,00 m</a:t>
          </a:fld>
          <a:endParaRPr lang="en-US" sz="1100"/>
        </a:p>
      </xdr:txBody>
    </xdr:sp>
    <xdr:clientData/>
  </xdr:twoCellAnchor>
  <xdr:twoCellAnchor>
    <xdr:from>
      <xdr:col>14</xdr:col>
      <xdr:colOff>664433</xdr:colOff>
      <xdr:row>16</xdr:row>
      <xdr:rowOff>98363</xdr:rowOff>
    </xdr:from>
    <xdr:to>
      <xdr:col>14</xdr:col>
      <xdr:colOff>1432054</xdr:colOff>
      <xdr:row>17</xdr:row>
      <xdr:rowOff>71148</xdr:rowOff>
    </xdr:to>
    <xdr:sp macro="" textlink="dim_egout_long">
      <xdr:nvSpPr>
        <xdr:cNvPr id="40" name="Rectangle 39">
          <a:extLst>
            <a:ext uri="{FF2B5EF4-FFF2-40B4-BE49-F238E27FC236}">
              <a16:creationId xmlns:a16="http://schemas.microsoft.com/office/drawing/2014/main" id="{C4BC71A5-EE56-4908-B40C-3F388B527F2D}"/>
            </a:ext>
          </a:extLst>
        </xdr:cNvPr>
        <xdr:cNvSpPr/>
      </xdr:nvSpPr>
      <xdr:spPr>
        <a:xfrm>
          <a:off x="14198216" y="3345146"/>
          <a:ext cx="767621" cy="15500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D6311E8-0D74-4484-9A83-B838DBDE86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8,98m</a:t>
          </a:fld>
          <a:endParaRPr lang="en-US" sz="1100"/>
        </a:p>
      </xdr:txBody>
    </xdr:sp>
    <xdr:clientData/>
  </xdr:twoCellAnchor>
  <xdr:twoCellAnchor>
    <xdr:from>
      <xdr:col>14</xdr:col>
      <xdr:colOff>1774516</xdr:colOff>
      <xdr:row>12</xdr:row>
      <xdr:rowOff>175576</xdr:rowOff>
    </xdr:from>
    <xdr:to>
      <xdr:col>14</xdr:col>
      <xdr:colOff>1775231</xdr:colOff>
      <xdr:row>14</xdr:row>
      <xdr:rowOff>151210</xdr:rowOff>
    </xdr:to>
    <xdr:cxnSp macro="">
      <xdr:nvCxnSpPr>
        <xdr:cNvPr id="43" name="Connecteur droit avec flèche 52">
          <a:extLst>
            <a:ext uri="{FF2B5EF4-FFF2-40B4-BE49-F238E27FC236}">
              <a16:creationId xmlns:a16="http://schemas.microsoft.com/office/drawing/2014/main" id="{81D0DC60-BD11-4327-8165-48C58D67217E}"/>
            </a:ext>
          </a:extLst>
        </xdr:cNvPr>
        <xdr:cNvCxnSpPr/>
      </xdr:nvCxnSpPr>
      <xdr:spPr>
        <a:xfrm>
          <a:off x="9676456" y="12268516"/>
          <a:ext cx="715" cy="34139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1799639</xdr:colOff>
      <xdr:row>11</xdr:row>
      <xdr:rowOff>203899</xdr:rowOff>
    </xdr:from>
    <xdr:to>
      <xdr:col>14</xdr:col>
      <xdr:colOff>1956355</xdr:colOff>
      <xdr:row>16</xdr:row>
      <xdr:rowOff>32632</xdr:rowOff>
    </xdr:to>
    <xdr:sp macro="" textlink="toit_dim0_e10_proj">
      <xdr:nvSpPr>
        <xdr:cNvPr id="44" name="Rectangle 43">
          <a:extLst>
            <a:ext uri="{FF2B5EF4-FFF2-40B4-BE49-F238E27FC236}">
              <a16:creationId xmlns:a16="http://schemas.microsoft.com/office/drawing/2014/main" id="{7B9DBB0B-F5F9-43FB-B5AC-66B12836792D}"/>
            </a:ext>
          </a:extLst>
        </xdr:cNvPr>
        <xdr:cNvSpPr/>
      </xdr:nvSpPr>
      <xdr:spPr>
        <a:xfrm rot="16200000">
          <a:off x="15016544" y="2798494"/>
          <a:ext cx="788560" cy="156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6A665A0-2C84-4EEB-AACF-EBAC7010946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1,70m</a:t>
          </a:fld>
          <a:endParaRPr lang="en-US" sz="1100"/>
        </a:p>
      </xdr:txBody>
    </xdr:sp>
    <xdr:clientData/>
  </xdr:twoCellAnchor>
  <xdr:twoCellAnchor>
    <xdr:from>
      <xdr:col>11</xdr:col>
      <xdr:colOff>722271</xdr:colOff>
      <xdr:row>12</xdr:row>
      <xdr:rowOff>3517</xdr:rowOff>
    </xdr:from>
    <xdr:to>
      <xdr:col>11</xdr:col>
      <xdr:colOff>722271</xdr:colOff>
      <xdr:row>15</xdr:row>
      <xdr:rowOff>6550</xdr:rowOff>
    </xdr:to>
    <xdr:cxnSp macro="">
      <xdr:nvCxnSpPr>
        <xdr:cNvPr id="45" name="Connecteur droit avec flèche 67">
          <a:extLst>
            <a:ext uri="{FF2B5EF4-FFF2-40B4-BE49-F238E27FC236}">
              <a16:creationId xmlns:a16="http://schemas.microsoft.com/office/drawing/2014/main" id="{831539F1-9506-4461-88A7-249BAD7294A8}"/>
            </a:ext>
          </a:extLst>
        </xdr:cNvPr>
        <xdr:cNvCxnSpPr/>
      </xdr:nvCxnSpPr>
      <xdr:spPr>
        <a:xfrm flipH="1">
          <a:off x="7075446" y="12100267"/>
          <a:ext cx="0" cy="54786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496551</xdr:colOff>
      <xdr:row>11</xdr:row>
      <xdr:rowOff>49656</xdr:rowOff>
    </xdr:from>
    <xdr:to>
      <xdr:col>11</xdr:col>
      <xdr:colOff>660887</xdr:colOff>
      <xdr:row>15</xdr:row>
      <xdr:rowOff>74898</xdr:rowOff>
    </xdr:to>
    <xdr:sp macro="" textlink="toit_dim90_e4_proj">
      <xdr:nvSpPr>
        <xdr:cNvPr id="46" name="Rectangle 45">
          <a:extLst>
            <a:ext uri="{FF2B5EF4-FFF2-40B4-BE49-F238E27FC236}">
              <a16:creationId xmlns:a16="http://schemas.microsoft.com/office/drawing/2014/main" id="{DEA695B3-73C5-4F92-A150-61702A09945B}"/>
            </a:ext>
          </a:extLst>
        </xdr:cNvPr>
        <xdr:cNvSpPr/>
      </xdr:nvSpPr>
      <xdr:spPr>
        <a:xfrm rot="16200000">
          <a:off x="6561133" y="12257834"/>
          <a:ext cx="745332" cy="16814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AAFB927-3F62-476C-9B97-1A55BFDD643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3,00m</a:t>
          </a:fld>
          <a:endParaRPr lang="en-US" sz="1100"/>
        </a:p>
      </xdr:txBody>
    </xdr:sp>
    <xdr:clientData/>
  </xdr:twoCellAnchor>
  <xdr:twoCellAnchor>
    <xdr:from>
      <xdr:col>11</xdr:col>
      <xdr:colOff>722271</xdr:colOff>
      <xdr:row>3</xdr:row>
      <xdr:rowOff>0</xdr:rowOff>
    </xdr:from>
    <xdr:to>
      <xdr:col>11</xdr:col>
      <xdr:colOff>723900</xdr:colOff>
      <xdr:row>5</xdr:row>
      <xdr:rowOff>163663</xdr:rowOff>
    </xdr:to>
    <xdr:cxnSp macro="">
      <xdr:nvCxnSpPr>
        <xdr:cNvPr id="47" name="Connecteur droit avec flèche 16">
          <a:extLst>
            <a:ext uri="{FF2B5EF4-FFF2-40B4-BE49-F238E27FC236}">
              <a16:creationId xmlns:a16="http://schemas.microsoft.com/office/drawing/2014/main" id="{3B0DBFD7-0B91-4A56-B328-5DF905A97984}"/>
            </a:ext>
          </a:extLst>
        </xdr:cNvPr>
        <xdr:cNvCxnSpPr/>
      </xdr:nvCxnSpPr>
      <xdr:spPr>
        <a:xfrm flipH="1">
          <a:off x="12083691" y="640080"/>
          <a:ext cx="1629" cy="52942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496551</xdr:colOff>
      <xdr:row>2</xdr:row>
      <xdr:rowOff>26088</xdr:rowOff>
    </xdr:from>
    <xdr:to>
      <xdr:col>11</xdr:col>
      <xdr:colOff>660887</xdr:colOff>
      <xdr:row>6</xdr:row>
      <xdr:rowOff>51331</xdr:rowOff>
    </xdr:to>
    <xdr:sp macro="" textlink="toit_dim90_e4_proj">
      <xdr:nvSpPr>
        <xdr:cNvPr id="48" name="Rectangle 47">
          <a:extLst>
            <a:ext uri="{FF2B5EF4-FFF2-40B4-BE49-F238E27FC236}">
              <a16:creationId xmlns:a16="http://schemas.microsoft.com/office/drawing/2014/main" id="{C73EE4AF-39E5-4236-A1D4-7FFE3A14FF4E}"/>
            </a:ext>
          </a:extLst>
        </xdr:cNvPr>
        <xdr:cNvSpPr/>
      </xdr:nvSpPr>
      <xdr:spPr>
        <a:xfrm rot="16200000">
          <a:off x="6555417" y="10603587"/>
          <a:ext cx="756763" cy="16814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F495325-E295-4663-A2E9-B0242592188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3,00m</a:t>
          </a:fld>
          <a:endParaRPr lang="en-US" sz="1100"/>
        </a:p>
      </xdr:txBody>
    </xdr:sp>
    <xdr:clientData/>
  </xdr:twoCellAnchor>
  <xdr:twoCellAnchor>
    <xdr:from>
      <xdr:col>14</xdr:col>
      <xdr:colOff>1703816</xdr:colOff>
      <xdr:row>3</xdr:row>
      <xdr:rowOff>18464</xdr:rowOff>
    </xdr:from>
    <xdr:to>
      <xdr:col>14</xdr:col>
      <xdr:colOff>1704531</xdr:colOff>
      <xdr:row>4</xdr:row>
      <xdr:rowOff>174778</xdr:rowOff>
    </xdr:to>
    <xdr:cxnSp macro="">
      <xdr:nvCxnSpPr>
        <xdr:cNvPr id="49" name="Connecteur droit avec flèche 19">
          <a:extLst>
            <a:ext uri="{FF2B5EF4-FFF2-40B4-BE49-F238E27FC236}">
              <a16:creationId xmlns:a16="http://schemas.microsoft.com/office/drawing/2014/main" id="{C0BE484B-880B-4C44-9F77-7F332DCAB7AA}"/>
            </a:ext>
          </a:extLst>
        </xdr:cNvPr>
        <xdr:cNvCxnSpPr/>
      </xdr:nvCxnSpPr>
      <xdr:spPr>
        <a:xfrm>
          <a:off x="9607661" y="10490249"/>
          <a:ext cx="715" cy="32966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1714286</xdr:colOff>
      <xdr:row>2</xdr:row>
      <xdr:rowOff>15573</xdr:rowOff>
    </xdr:from>
    <xdr:to>
      <xdr:col>14</xdr:col>
      <xdr:colOff>1872907</xdr:colOff>
      <xdr:row>6</xdr:row>
      <xdr:rowOff>37005</xdr:rowOff>
    </xdr:to>
    <xdr:sp macro="" textlink="toit_dim0_e10_proj">
      <xdr:nvSpPr>
        <xdr:cNvPr id="50" name="Rectangle 49">
          <a:extLst>
            <a:ext uri="{FF2B5EF4-FFF2-40B4-BE49-F238E27FC236}">
              <a16:creationId xmlns:a16="http://schemas.microsoft.com/office/drawing/2014/main" id="{3C9F9549-F58C-43F8-8C35-3A2D4F545830}"/>
            </a:ext>
          </a:extLst>
        </xdr:cNvPr>
        <xdr:cNvSpPr/>
      </xdr:nvSpPr>
      <xdr:spPr>
        <a:xfrm rot="16200000">
          <a:off x="14927381" y="745613"/>
          <a:ext cx="798086" cy="15862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AEFC89D-843E-40E5-A6F2-AF64A74FAC4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1,70m</a:t>
          </a:fld>
          <a:endParaRPr lang="en-US" sz="1100"/>
        </a:p>
      </xdr:txBody>
    </xdr:sp>
    <xdr:clientData/>
  </xdr:twoCellAnchor>
  <xdr:twoCellAnchor>
    <xdr:from>
      <xdr:col>14</xdr:col>
      <xdr:colOff>739164</xdr:colOff>
      <xdr:row>18</xdr:row>
      <xdr:rowOff>38928</xdr:rowOff>
    </xdr:from>
    <xdr:to>
      <xdr:col>14</xdr:col>
      <xdr:colOff>1616008</xdr:colOff>
      <xdr:row>18</xdr:row>
      <xdr:rowOff>196938</xdr:rowOff>
    </xdr:to>
    <xdr:sp macro="" textlink="toit_long">
      <xdr:nvSpPr>
        <xdr:cNvPr id="51" name="Rectangle 50">
          <a:extLst>
            <a:ext uri="{FF2B5EF4-FFF2-40B4-BE49-F238E27FC236}">
              <a16:creationId xmlns:a16="http://schemas.microsoft.com/office/drawing/2014/main" id="{9315C93E-ACA8-4272-A32F-B99712663618}"/>
            </a:ext>
          </a:extLst>
        </xdr:cNvPr>
        <xdr:cNvSpPr/>
      </xdr:nvSpPr>
      <xdr:spPr>
        <a:xfrm>
          <a:off x="13249299" y="10078278"/>
          <a:ext cx="876844" cy="1599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67BD829-E543-4B54-AD73-36FBCFB85C1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17,49 m</a:t>
          </a:fld>
          <a:endParaRPr lang="en-US" sz="1100"/>
        </a:p>
      </xdr:txBody>
    </xdr:sp>
    <xdr:clientData/>
  </xdr:twoCellAnchor>
  <xdr:twoCellAnchor>
    <xdr:from>
      <xdr:col>12</xdr:col>
      <xdr:colOff>20079</xdr:colOff>
      <xdr:row>19</xdr:row>
      <xdr:rowOff>24848</xdr:rowOff>
    </xdr:from>
    <xdr:to>
      <xdr:col>16</xdr:col>
      <xdr:colOff>621196</xdr:colOff>
      <xdr:row>19</xdr:row>
      <xdr:rowOff>26961</xdr:rowOff>
    </xdr:to>
    <xdr:cxnSp macro="">
      <xdr:nvCxnSpPr>
        <xdr:cNvPr id="52" name="Connecteur droit avec flèche 38">
          <a:extLst>
            <a:ext uri="{FF2B5EF4-FFF2-40B4-BE49-F238E27FC236}">
              <a16:creationId xmlns:a16="http://schemas.microsoft.com/office/drawing/2014/main" id="{D8B4FEC3-35AB-40AE-9B4A-4B8892B0413B}"/>
            </a:ext>
          </a:extLst>
        </xdr:cNvPr>
        <xdr:cNvCxnSpPr/>
      </xdr:nvCxnSpPr>
      <xdr:spPr>
        <a:xfrm flipV="1">
          <a:off x="12178949" y="3818283"/>
          <a:ext cx="4038399" cy="211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4487</xdr:colOff>
      <xdr:row>33</xdr:row>
      <xdr:rowOff>5230</xdr:rowOff>
    </xdr:from>
    <xdr:to>
      <xdr:col>13</xdr:col>
      <xdr:colOff>171243</xdr:colOff>
      <xdr:row>33</xdr:row>
      <xdr:rowOff>5230</xdr:rowOff>
    </xdr:to>
    <xdr:cxnSp macro="">
      <xdr:nvCxnSpPr>
        <xdr:cNvPr id="53" name="Connecteur droit avec flèche 41">
          <a:extLst>
            <a:ext uri="{FF2B5EF4-FFF2-40B4-BE49-F238E27FC236}">
              <a16:creationId xmlns:a16="http://schemas.microsoft.com/office/drawing/2014/main" id="{2E5B1CF1-F126-496C-9853-C422FEDF4CB1}"/>
            </a:ext>
          </a:extLst>
        </xdr:cNvPr>
        <xdr:cNvCxnSpPr/>
      </xdr:nvCxnSpPr>
      <xdr:spPr>
        <a:xfrm flipV="1">
          <a:off x="11750717" y="12827785"/>
          <a:ext cx="740161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20942</xdr:colOff>
      <xdr:row>33</xdr:row>
      <xdr:rowOff>4710</xdr:rowOff>
    </xdr:from>
    <xdr:to>
      <xdr:col>16</xdr:col>
      <xdr:colOff>565603</xdr:colOff>
      <xdr:row>33</xdr:row>
      <xdr:rowOff>4710</xdr:rowOff>
    </xdr:to>
    <xdr:cxnSp macro="">
      <xdr:nvCxnSpPr>
        <xdr:cNvPr id="54" name="Connecteur droit avec flèche 42">
          <a:extLst>
            <a:ext uri="{FF2B5EF4-FFF2-40B4-BE49-F238E27FC236}">
              <a16:creationId xmlns:a16="http://schemas.microsoft.com/office/drawing/2014/main" id="{6BEA978A-4E03-466C-8FDD-3B47A5DDD01C}"/>
            </a:ext>
          </a:extLst>
        </xdr:cNvPr>
        <xdr:cNvCxnSpPr/>
      </xdr:nvCxnSpPr>
      <xdr:spPr>
        <a:xfrm flipV="1">
          <a:off x="14809457" y="12827265"/>
          <a:ext cx="737066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2434</xdr:colOff>
      <xdr:row>33</xdr:row>
      <xdr:rowOff>1940</xdr:rowOff>
    </xdr:from>
    <xdr:to>
      <xdr:col>15</xdr:col>
      <xdr:colOff>3734</xdr:colOff>
      <xdr:row>33</xdr:row>
      <xdr:rowOff>1940</xdr:rowOff>
    </xdr:to>
    <xdr:cxnSp macro="">
      <xdr:nvCxnSpPr>
        <xdr:cNvPr id="55" name="Connecteur droit avec flèche 43">
          <a:extLst>
            <a:ext uri="{FF2B5EF4-FFF2-40B4-BE49-F238E27FC236}">
              <a16:creationId xmlns:a16="http://schemas.microsoft.com/office/drawing/2014/main" id="{992CBA6C-80F7-4A27-BF0B-2C87CAAF9233}"/>
            </a:ext>
          </a:extLst>
        </xdr:cNvPr>
        <xdr:cNvCxnSpPr/>
      </xdr:nvCxnSpPr>
      <xdr:spPr>
        <a:xfrm>
          <a:off x="12508759" y="12822590"/>
          <a:ext cx="22873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776576</xdr:colOff>
      <xdr:row>33</xdr:row>
      <xdr:rowOff>166219</xdr:rowOff>
    </xdr:from>
    <xdr:to>
      <xdr:col>14</xdr:col>
      <xdr:colOff>8224</xdr:colOff>
      <xdr:row>36</xdr:row>
      <xdr:rowOff>140909</xdr:rowOff>
    </xdr:to>
    <xdr:sp macro="" textlink="toit_dim0_e4_proj">
      <xdr:nvSpPr>
        <xdr:cNvPr id="56" name="Rectangle 55">
          <a:extLst>
            <a:ext uri="{FF2B5EF4-FFF2-40B4-BE49-F238E27FC236}">
              <a16:creationId xmlns:a16="http://schemas.microsoft.com/office/drawing/2014/main" id="{5F4A4D86-DD1A-4990-A469-4A86ECD8AF3E}"/>
            </a:ext>
          </a:extLst>
        </xdr:cNvPr>
        <xdr:cNvSpPr/>
      </xdr:nvSpPr>
      <xdr:spPr>
        <a:xfrm>
          <a:off x="11734136" y="12990679"/>
          <a:ext cx="782318" cy="1480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647FCFD8-A2B9-4703-8915-34E4553BA28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4,26m</a:t>
          </a:fld>
          <a:endParaRPr lang="en-US" sz="1100"/>
        </a:p>
      </xdr:txBody>
    </xdr:sp>
    <xdr:clientData/>
  </xdr:twoCellAnchor>
  <xdr:twoCellAnchor>
    <xdr:from>
      <xdr:col>15</xdr:col>
      <xdr:colOff>23614</xdr:colOff>
      <xdr:row>33</xdr:row>
      <xdr:rowOff>148792</xdr:rowOff>
    </xdr:from>
    <xdr:to>
      <xdr:col>17</xdr:col>
      <xdr:colOff>43536</xdr:colOff>
      <xdr:row>36</xdr:row>
      <xdr:rowOff>129197</xdr:rowOff>
    </xdr:to>
    <xdr:sp macro="" textlink="toit_dim0_e4_proj">
      <xdr:nvSpPr>
        <xdr:cNvPr id="57" name="Rectangle 56">
          <a:extLst>
            <a:ext uri="{FF2B5EF4-FFF2-40B4-BE49-F238E27FC236}">
              <a16:creationId xmlns:a16="http://schemas.microsoft.com/office/drawing/2014/main" id="{747657E8-05E8-47E9-9D9A-8B285AC438AF}"/>
            </a:ext>
          </a:extLst>
        </xdr:cNvPr>
        <xdr:cNvSpPr/>
      </xdr:nvSpPr>
      <xdr:spPr>
        <a:xfrm>
          <a:off x="14812129" y="12969442"/>
          <a:ext cx="787637" cy="16519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D936898-0479-4CE4-BED2-D6081AC0B26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4,26m</a:t>
          </a:fld>
          <a:endParaRPr lang="en-US" sz="1100"/>
        </a:p>
      </xdr:txBody>
    </xdr:sp>
    <xdr:clientData/>
  </xdr:twoCellAnchor>
  <xdr:twoCellAnchor>
    <xdr:from>
      <xdr:col>14</xdr:col>
      <xdr:colOff>653297</xdr:colOff>
      <xdr:row>33</xdr:row>
      <xdr:rowOff>173566</xdr:rowOff>
    </xdr:from>
    <xdr:to>
      <xdr:col>14</xdr:col>
      <xdr:colOff>1432348</xdr:colOff>
      <xdr:row>36</xdr:row>
      <xdr:rowOff>150161</xdr:rowOff>
    </xdr:to>
    <xdr:sp macro="" textlink="dim_egout_long">
      <xdr:nvSpPr>
        <xdr:cNvPr id="58" name="Rectangle 57">
          <a:extLst>
            <a:ext uri="{FF2B5EF4-FFF2-40B4-BE49-F238E27FC236}">
              <a16:creationId xmlns:a16="http://schemas.microsoft.com/office/drawing/2014/main" id="{121726CC-D3CE-491D-BE13-EF4492C01AE2}"/>
            </a:ext>
          </a:extLst>
        </xdr:cNvPr>
        <xdr:cNvSpPr/>
      </xdr:nvSpPr>
      <xdr:spPr>
        <a:xfrm>
          <a:off x="13161527" y="12990406"/>
          <a:ext cx="773336" cy="16138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E98E6B0-429D-4D9B-A3DF-3D15A29117D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8,98m</a:t>
          </a:fld>
          <a:endParaRPr lang="en-US" sz="1100"/>
        </a:p>
      </xdr:txBody>
    </xdr:sp>
    <xdr:clientData/>
  </xdr:twoCellAnchor>
  <xdr:twoCellAnchor>
    <xdr:from>
      <xdr:col>13</xdr:col>
      <xdr:colOff>8821</xdr:colOff>
      <xdr:row>27</xdr:row>
      <xdr:rowOff>92763</xdr:rowOff>
    </xdr:from>
    <xdr:to>
      <xdr:col>16</xdr:col>
      <xdr:colOff>18526</xdr:colOff>
      <xdr:row>27</xdr:row>
      <xdr:rowOff>98410</xdr:rowOff>
    </xdr:to>
    <xdr:cxnSp macro="">
      <xdr:nvCxnSpPr>
        <xdr:cNvPr id="59" name="Connecteur droit avec flèche 47">
          <a:extLst>
            <a:ext uri="{FF2B5EF4-FFF2-40B4-BE49-F238E27FC236}">
              <a16:creationId xmlns:a16="http://schemas.microsoft.com/office/drawing/2014/main" id="{BFD4B3EF-AB58-4179-B872-4431650DC2D8}"/>
            </a:ext>
          </a:extLst>
        </xdr:cNvPr>
        <xdr:cNvCxnSpPr/>
      </xdr:nvCxnSpPr>
      <xdr:spPr>
        <a:xfrm>
          <a:off x="12326551" y="11831373"/>
          <a:ext cx="267861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795895</xdr:colOff>
      <xdr:row>26</xdr:row>
      <xdr:rowOff>94351</xdr:rowOff>
    </xdr:from>
    <xdr:to>
      <xdr:col>14</xdr:col>
      <xdr:colOff>1562577</xdr:colOff>
      <xdr:row>27</xdr:row>
      <xdr:rowOff>65231</xdr:rowOff>
    </xdr:to>
    <xdr:sp macro="" textlink="Dim_centre_long">
      <xdr:nvSpPr>
        <xdr:cNvPr id="60" name="Rectangle 59">
          <a:extLst>
            <a:ext uri="{FF2B5EF4-FFF2-40B4-BE49-F238E27FC236}">
              <a16:creationId xmlns:a16="http://schemas.microsoft.com/office/drawing/2014/main" id="{5FC0FE1C-9FBC-47CC-9A10-3436E2F22933}"/>
            </a:ext>
          </a:extLst>
        </xdr:cNvPr>
        <xdr:cNvSpPr/>
      </xdr:nvSpPr>
      <xdr:spPr>
        <a:xfrm>
          <a:off x="13300315" y="11651986"/>
          <a:ext cx="768587" cy="146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69F5836B-C28E-4AEF-8727-37DABF8A296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15,09m</a:t>
          </a:fld>
          <a:endParaRPr lang="en-US" sz="1100"/>
        </a:p>
      </xdr:txBody>
    </xdr:sp>
    <xdr:clientData/>
  </xdr:twoCellAnchor>
  <xdr:twoCellAnchor>
    <xdr:from>
      <xdr:col>11</xdr:col>
      <xdr:colOff>663655</xdr:colOff>
      <xdr:row>29</xdr:row>
      <xdr:rowOff>587</xdr:rowOff>
    </xdr:from>
    <xdr:to>
      <xdr:col>11</xdr:col>
      <xdr:colOff>663655</xdr:colOff>
      <xdr:row>32</xdr:row>
      <xdr:rowOff>3620</xdr:rowOff>
    </xdr:to>
    <xdr:cxnSp macro="">
      <xdr:nvCxnSpPr>
        <xdr:cNvPr id="61" name="Connecteur droit avec flèche 49">
          <a:extLst>
            <a:ext uri="{FF2B5EF4-FFF2-40B4-BE49-F238E27FC236}">
              <a16:creationId xmlns:a16="http://schemas.microsoft.com/office/drawing/2014/main" id="{5BC35C0E-6853-4447-9C23-C1A00B1C642D}"/>
            </a:ext>
          </a:extLst>
        </xdr:cNvPr>
        <xdr:cNvCxnSpPr/>
      </xdr:nvCxnSpPr>
      <xdr:spPr>
        <a:xfrm flipH="1">
          <a:off x="12531805" y="5620337"/>
          <a:ext cx="0" cy="54595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462003</xdr:colOff>
      <xdr:row>28</xdr:row>
      <xdr:rowOff>35003</xdr:rowOff>
    </xdr:from>
    <xdr:to>
      <xdr:col>11</xdr:col>
      <xdr:colOff>633959</xdr:colOff>
      <xdr:row>32</xdr:row>
      <xdr:rowOff>56435</xdr:rowOff>
    </xdr:to>
    <xdr:sp macro="" textlink="toit_dim90_e4_proj">
      <xdr:nvSpPr>
        <xdr:cNvPr id="62" name="Rectangle 61">
          <a:extLst>
            <a:ext uri="{FF2B5EF4-FFF2-40B4-BE49-F238E27FC236}">
              <a16:creationId xmlns:a16="http://schemas.microsoft.com/office/drawing/2014/main" id="{1F7AF2C1-B568-4204-A849-EE6D14941431}"/>
            </a:ext>
          </a:extLst>
        </xdr:cNvPr>
        <xdr:cNvSpPr/>
      </xdr:nvSpPr>
      <xdr:spPr>
        <a:xfrm rot="16200000">
          <a:off x="12041808" y="5807263"/>
          <a:ext cx="750302" cy="17195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222EB98-069F-4C84-8E05-8582EDA39CC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3,00m</a:t>
          </a:fld>
          <a:endParaRPr lang="en-US" sz="1100"/>
        </a:p>
      </xdr:txBody>
    </xdr:sp>
    <xdr:clientData/>
  </xdr:twoCellAnchor>
  <xdr:twoCellAnchor>
    <xdr:from>
      <xdr:col>14</xdr:col>
      <xdr:colOff>506914</xdr:colOff>
      <xdr:row>22</xdr:row>
      <xdr:rowOff>29308</xdr:rowOff>
    </xdr:from>
    <xdr:to>
      <xdr:col>14</xdr:col>
      <xdr:colOff>512885</xdr:colOff>
      <xdr:row>29</xdr:row>
      <xdr:rowOff>178198</xdr:rowOff>
    </xdr:to>
    <xdr:cxnSp macro="">
      <xdr:nvCxnSpPr>
        <xdr:cNvPr id="63" name="Connecteur droit avec flèche 56">
          <a:extLst>
            <a:ext uri="{FF2B5EF4-FFF2-40B4-BE49-F238E27FC236}">
              <a16:creationId xmlns:a16="http://schemas.microsoft.com/office/drawing/2014/main" id="{A999307A-9DEB-4E2C-A2BF-DBAF00BF459E}"/>
            </a:ext>
          </a:extLst>
        </xdr:cNvPr>
        <xdr:cNvCxnSpPr/>
      </xdr:nvCxnSpPr>
      <xdr:spPr>
        <a:xfrm flipH="1">
          <a:off x="13534183" y="4366846"/>
          <a:ext cx="5971" cy="147506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290331</xdr:colOff>
      <xdr:row>22</xdr:row>
      <xdr:rowOff>145898</xdr:rowOff>
    </xdr:from>
    <xdr:to>
      <xdr:col>14</xdr:col>
      <xdr:colOff>452762</xdr:colOff>
      <xdr:row>27</xdr:row>
      <xdr:rowOff>545</xdr:rowOff>
    </xdr:to>
    <xdr:sp macro="" textlink="Dim_centre_haut_BP">
      <xdr:nvSpPr>
        <xdr:cNvPr id="64" name="Rectangle 63">
          <a:extLst>
            <a:ext uri="{FF2B5EF4-FFF2-40B4-BE49-F238E27FC236}">
              <a16:creationId xmlns:a16="http://schemas.microsoft.com/office/drawing/2014/main" id="{CA6510C0-20D4-4451-A48D-18CAF2FE7FBC}"/>
            </a:ext>
          </a:extLst>
        </xdr:cNvPr>
        <xdr:cNvSpPr/>
      </xdr:nvSpPr>
      <xdr:spPr>
        <a:xfrm rot="16200000">
          <a:off x="12494300" y="11272464"/>
          <a:ext cx="761427" cy="16433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CA4B14-510E-4F58-8529-E743D1F2C2A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2,59m</a:t>
          </a:fld>
          <a:endParaRPr lang="en-US" sz="1100"/>
        </a:p>
      </xdr:txBody>
    </xdr:sp>
    <xdr:clientData/>
  </xdr:twoCellAnchor>
  <xdr:twoCellAnchor>
    <xdr:from>
      <xdr:col>12</xdr:col>
      <xdr:colOff>7598</xdr:colOff>
      <xdr:row>22</xdr:row>
      <xdr:rowOff>114071</xdr:rowOff>
    </xdr:from>
    <xdr:to>
      <xdr:col>13</xdr:col>
      <xdr:colOff>23482</xdr:colOff>
      <xdr:row>22</xdr:row>
      <xdr:rowOff>114360</xdr:rowOff>
    </xdr:to>
    <xdr:cxnSp macro="">
      <xdr:nvCxnSpPr>
        <xdr:cNvPr id="65" name="Connecteur droit avec flèche 59">
          <a:extLst>
            <a:ext uri="{FF2B5EF4-FFF2-40B4-BE49-F238E27FC236}">
              <a16:creationId xmlns:a16="http://schemas.microsoft.com/office/drawing/2014/main" id="{E86EE642-1DF9-4CE9-A665-A94D4723F46C}"/>
            </a:ext>
          </a:extLst>
        </xdr:cNvPr>
        <xdr:cNvCxnSpPr/>
      </xdr:nvCxnSpPr>
      <xdr:spPr>
        <a:xfrm>
          <a:off x="11753828" y="10943996"/>
          <a:ext cx="581669" cy="28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701266</xdr:colOff>
      <xdr:row>22</xdr:row>
      <xdr:rowOff>134617</xdr:rowOff>
    </xdr:from>
    <xdr:to>
      <xdr:col>13</xdr:col>
      <xdr:colOff>119602</xdr:colOff>
      <xdr:row>23</xdr:row>
      <xdr:rowOff>111212</xdr:rowOff>
    </xdr:to>
    <xdr:sp macro="" textlink="toit_dim90_e10_proj">
      <xdr:nvSpPr>
        <xdr:cNvPr id="66" name="Rectangle 65">
          <a:extLst>
            <a:ext uri="{FF2B5EF4-FFF2-40B4-BE49-F238E27FC236}">
              <a16:creationId xmlns:a16="http://schemas.microsoft.com/office/drawing/2014/main" id="{F98C5CFB-CDEB-436D-ACCF-CF6115089A20}"/>
            </a:ext>
          </a:extLst>
        </xdr:cNvPr>
        <xdr:cNvSpPr/>
      </xdr:nvSpPr>
      <xdr:spPr>
        <a:xfrm>
          <a:off x="11658826" y="10960732"/>
          <a:ext cx="778506" cy="16138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33E5265-3AD1-452E-9272-37C4D24391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1,20m</a:t>
          </a:fld>
          <a:endParaRPr lang="en-US" sz="1100"/>
        </a:p>
      </xdr:txBody>
    </xdr:sp>
    <xdr:clientData/>
  </xdr:twoCellAnchor>
  <xdr:twoCellAnchor>
    <xdr:from>
      <xdr:col>16</xdr:col>
      <xdr:colOff>2935</xdr:colOff>
      <xdr:row>22</xdr:row>
      <xdr:rowOff>166622</xdr:rowOff>
    </xdr:from>
    <xdr:to>
      <xdr:col>17</xdr:col>
      <xdr:colOff>13104</xdr:colOff>
      <xdr:row>22</xdr:row>
      <xdr:rowOff>166911</xdr:rowOff>
    </xdr:to>
    <xdr:cxnSp macro="">
      <xdr:nvCxnSpPr>
        <xdr:cNvPr id="67" name="Connecteur droit avec flèche 61">
          <a:extLst>
            <a:ext uri="{FF2B5EF4-FFF2-40B4-BE49-F238E27FC236}">
              <a16:creationId xmlns:a16="http://schemas.microsoft.com/office/drawing/2014/main" id="{9556DB4E-5958-463A-BF99-8E070B4AD442}"/>
            </a:ext>
          </a:extLst>
        </xdr:cNvPr>
        <xdr:cNvCxnSpPr/>
      </xdr:nvCxnSpPr>
      <xdr:spPr>
        <a:xfrm>
          <a:off x="14985760" y="11000357"/>
          <a:ext cx="585479" cy="28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142147</xdr:colOff>
      <xdr:row>22</xdr:row>
      <xdr:rowOff>170023</xdr:rowOff>
    </xdr:from>
    <xdr:to>
      <xdr:col>17</xdr:col>
      <xdr:colOff>148734</xdr:colOff>
      <xdr:row>23</xdr:row>
      <xdr:rowOff>173288</xdr:rowOff>
    </xdr:to>
    <xdr:sp macro="" textlink="toit_dim90_e10_proj">
      <xdr:nvSpPr>
        <xdr:cNvPr id="68" name="Rectangle 67">
          <a:extLst>
            <a:ext uri="{FF2B5EF4-FFF2-40B4-BE49-F238E27FC236}">
              <a16:creationId xmlns:a16="http://schemas.microsoft.com/office/drawing/2014/main" id="{4D4C3524-6631-47DB-B2E9-9D38B85B68F2}"/>
            </a:ext>
          </a:extLst>
        </xdr:cNvPr>
        <xdr:cNvSpPr/>
      </xdr:nvSpPr>
      <xdr:spPr>
        <a:xfrm>
          <a:off x="15448408" y="4510110"/>
          <a:ext cx="942522" cy="18548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2637581-FE5C-4896-A5BF-17321F8651A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1,20m</a:t>
          </a:fld>
          <a:endParaRPr lang="en-US" sz="1100"/>
        </a:p>
      </xdr:txBody>
    </xdr:sp>
    <xdr:clientData/>
  </xdr:twoCellAnchor>
  <xdr:twoCellAnchor>
    <xdr:from>
      <xdr:col>11</xdr:col>
      <xdr:colOff>387334</xdr:colOff>
      <xdr:row>19</xdr:row>
      <xdr:rowOff>173734</xdr:rowOff>
    </xdr:from>
    <xdr:to>
      <xdr:col>11</xdr:col>
      <xdr:colOff>393903</xdr:colOff>
      <xdr:row>31</xdr:row>
      <xdr:rowOff>173734</xdr:rowOff>
    </xdr:to>
    <xdr:cxnSp macro="">
      <xdr:nvCxnSpPr>
        <xdr:cNvPr id="69" name="Connecteur droit avec flèche 65">
          <a:extLst>
            <a:ext uri="{FF2B5EF4-FFF2-40B4-BE49-F238E27FC236}">
              <a16:creationId xmlns:a16="http://schemas.microsoft.com/office/drawing/2014/main" id="{552A933E-8E56-47BD-8895-04AE9FDD2C14}"/>
            </a:ext>
          </a:extLst>
        </xdr:cNvPr>
        <xdr:cNvCxnSpPr/>
      </xdr:nvCxnSpPr>
      <xdr:spPr>
        <a:xfrm>
          <a:off x="11342989" y="10456924"/>
          <a:ext cx="8474" cy="2171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213025</xdr:colOff>
      <xdr:row>23</xdr:row>
      <xdr:rowOff>134699</xdr:rowOff>
    </xdr:from>
    <xdr:to>
      <xdr:col>11</xdr:col>
      <xdr:colOff>369741</xdr:colOff>
      <xdr:row>27</xdr:row>
      <xdr:rowOff>173026</xdr:rowOff>
    </xdr:to>
    <xdr:sp macro="" textlink="toit_ramp">
      <xdr:nvSpPr>
        <xdr:cNvPr id="70" name="Rectangle 69">
          <a:extLst>
            <a:ext uri="{FF2B5EF4-FFF2-40B4-BE49-F238E27FC236}">
              <a16:creationId xmlns:a16="http://schemas.microsoft.com/office/drawing/2014/main" id="{0B201CDF-A454-4ACF-A23D-1499BE1FC1BA}"/>
            </a:ext>
          </a:extLst>
        </xdr:cNvPr>
        <xdr:cNvSpPr/>
      </xdr:nvSpPr>
      <xdr:spPr>
        <a:xfrm rot="16200000">
          <a:off x="11759369" y="4922369"/>
          <a:ext cx="805770" cy="156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8A14A4A-C5B6-4113-A7DC-A31CFFEEFEA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6,00 m</a:t>
          </a:fld>
          <a:endParaRPr lang="en-US" sz="1100"/>
        </a:p>
      </xdr:txBody>
    </xdr:sp>
    <xdr:clientData/>
  </xdr:twoCellAnchor>
  <xdr:twoCellAnchor>
    <xdr:from>
      <xdr:col>14</xdr:col>
      <xdr:colOff>1846454</xdr:colOff>
      <xdr:row>30</xdr:row>
      <xdr:rowOff>13131</xdr:rowOff>
    </xdr:from>
    <xdr:to>
      <xdr:col>14</xdr:col>
      <xdr:colOff>1847169</xdr:colOff>
      <xdr:row>31</xdr:row>
      <xdr:rowOff>161825</xdr:rowOff>
    </xdr:to>
    <xdr:cxnSp macro="">
      <xdr:nvCxnSpPr>
        <xdr:cNvPr id="71" name="Connecteur droit avec flèche 31">
          <a:extLst>
            <a:ext uri="{FF2B5EF4-FFF2-40B4-BE49-F238E27FC236}">
              <a16:creationId xmlns:a16="http://schemas.microsoft.com/office/drawing/2014/main" id="{AA37513F-2E99-4848-A411-160D3BB94FD6}"/>
            </a:ext>
          </a:extLst>
        </xdr:cNvPr>
        <xdr:cNvCxnSpPr/>
      </xdr:nvCxnSpPr>
      <xdr:spPr>
        <a:xfrm>
          <a:off x="14356589" y="12294666"/>
          <a:ext cx="715" cy="32776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1882714</xdr:colOff>
      <xdr:row>28</xdr:row>
      <xdr:rowOff>172458</xdr:rowOff>
    </xdr:from>
    <xdr:to>
      <xdr:col>14</xdr:col>
      <xdr:colOff>2031810</xdr:colOff>
      <xdr:row>33</xdr:row>
      <xdr:rowOff>13209</xdr:rowOff>
    </xdr:to>
    <xdr:sp macro="" textlink="toit_dim0_e10_proj">
      <xdr:nvSpPr>
        <xdr:cNvPr id="72" name="Rectangle 71">
          <a:extLst>
            <a:ext uri="{FF2B5EF4-FFF2-40B4-BE49-F238E27FC236}">
              <a16:creationId xmlns:a16="http://schemas.microsoft.com/office/drawing/2014/main" id="{942505E8-D2D8-49D4-9008-A2958E269058}"/>
            </a:ext>
          </a:extLst>
        </xdr:cNvPr>
        <xdr:cNvSpPr/>
      </xdr:nvSpPr>
      <xdr:spPr>
        <a:xfrm rot="16200000">
          <a:off x="14090774" y="12386498"/>
          <a:ext cx="753246" cy="1490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D1AC706-6136-4F84-B22A-03943B87AAE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1,70m</a:t>
          </a:fld>
          <a:endParaRPr lang="en-US" sz="1100"/>
        </a:p>
      </xdr:txBody>
    </xdr:sp>
    <xdr:clientData/>
  </xdr:twoCellAnchor>
  <xdr:twoCellAnchor>
    <xdr:from>
      <xdr:col>11</xdr:col>
      <xdr:colOff>720587</xdr:colOff>
      <xdr:row>6</xdr:row>
      <xdr:rowOff>3971</xdr:rowOff>
    </xdr:from>
    <xdr:to>
      <xdr:col>11</xdr:col>
      <xdr:colOff>721895</xdr:colOff>
      <xdr:row>11</xdr:row>
      <xdr:rowOff>169746</xdr:rowOff>
    </xdr:to>
    <xdr:cxnSp macro="">
      <xdr:nvCxnSpPr>
        <xdr:cNvPr id="73" name="Connecteur droit avec flèche 16">
          <a:extLst>
            <a:ext uri="{FF2B5EF4-FFF2-40B4-BE49-F238E27FC236}">
              <a16:creationId xmlns:a16="http://schemas.microsoft.com/office/drawing/2014/main" id="{41DE5022-5F72-8ADD-F63B-EF9A686876D3}"/>
            </a:ext>
          </a:extLst>
        </xdr:cNvPr>
        <xdr:cNvCxnSpPr/>
      </xdr:nvCxnSpPr>
      <xdr:spPr>
        <a:xfrm>
          <a:off x="12591745" y="1187076"/>
          <a:ext cx="1308" cy="124861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486525</xdr:colOff>
      <xdr:row>7</xdr:row>
      <xdr:rowOff>22278</xdr:rowOff>
    </xdr:from>
    <xdr:to>
      <xdr:col>11</xdr:col>
      <xdr:colOff>654671</xdr:colOff>
      <xdr:row>10</xdr:row>
      <xdr:rowOff>285746</xdr:rowOff>
    </xdr:to>
    <xdr:sp macro="" textlink="Dim_rive_haut_MP">
      <xdr:nvSpPr>
        <xdr:cNvPr id="76" name="Rectangle 75">
          <a:extLst>
            <a:ext uri="{FF2B5EF4-FFF2-40B4-BE49-F238E27FC236}">
              <a16:creationId xmlns:a16="http://schemas.microsoft.com/office/drawing/2014/main" id="{79FD3F43-1937-3A3D-76EB-C93CCACFF484}"/>
            </a:ext>
          </a:extLst>
        </xdr:cNvPr>
        <xdr:cNvSpPr/>
      </xdr:nvSpPr>
      <xdr:spPr>
        <a:xfrm rot="16200000">
          <a:off x="12039311" y="1704229"/>
          <a:ext cx="804889" cy="16814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9032E09-FDAC-4B65-BC07-B057C9AAFB4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0,00m</a:t>
          </a:fld>
          <a:endParaRPr lang="en-US" sz="1100"/>
        </a:p>
      </xdr:txBody>
    </xdr:sp>
    <xdr:clientData/>
  </xdr:twoCellAnchor>
  <xdr:twoCellAnchor>
    <xdr:from>
      <xdr:col>11</xdr:col>
      <xdr:colOff>665661</xdr:colOff>
      <xdr:row>19</xdr:row>
      <xdr:rowOff>167640</xdr:rowOff>
    </xdr:from>
    <xdr:to>
      <xdr:col>11</xdr:col>
      <xdr:colOff>678180</xdr:colOff>
      <xdr:row>29</xdr:row>
      <xdr:rowOff>2177</xdr:rowOff>
    </xdr:to>
    <xdr:cxnSp macro="">
      <xdr:nvCxnSpPr>
        <xdr:cNvPr id="80" name="Connecteur droit avec flèche 16">
          <a:extLst>
            <a:ext uri="{FF2B5EF4-FFF2-40B4-BE49-F238E27FC236}">
              <a16:creationId xmlns:a16="http://schemas.microsoft.com/office/drawing/2014/main" id="{6356D92A-2F89-56A7-CC56-4866C25C0580}"/>
            </a:ext>
          </a:extLst>
        </xdr:cNvPr>
        <xdr:cNvCxnSpPr/>
      </xdr:nvCxnSpPr>
      <xdr:spPr>
        <a:xfrm flipH="1">
          <a:off x="12027081" y="3962400"/>
          <a:ext cx="12519" cy="170905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472057</xdr:colOff>
      <xdr:row>23</xdr:row>
      <xdr:rowOff>1903</xdr:rowOff>
    </xdr:from>
    <xdr:to>
      <xdr:col>11</xdr:col>
      <xdr:colOff>626868</xdr:colOff>
      <xdr:row>27</xdr:row>
      <xdr:rowOff>41077</xdr:rowOff>
    </xdr:to>
    <xdr:sp macro="" textlink="Dim_rive_haut_BP">
      <xdr:nvSpPr>
        <xdr:cNvPr id="81" name="Rectangle 80">
          <a:extLst>
            <a:ext uri="{FF2B5EF4-FFF2-40B4-BE49-F238E27FC236}">
              <a16:creationId xmlns:a16="http://schemas.microsoft.com/office/drawing/2014/main" id="{E4E5F18D-A730-CC7B-EEC2-60543DA6FBB7}"/>
            </a:ext>
          </a:extLst>
        </xdr:cNvPr>
        <xdr:cNvSpPr/>
      </xdr:nvSpPr>
      <xdr:spPr>
        <a:xfrm rot="16200000">
          <a:off x="12017025" y="4790949"/>
          <a:ext cx="806617" cy="15481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913CB9E-A1F5-4C31-8187-6A963D5035F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3,00m</a:t>
          </a:fld>
          <a:endParaRPr lang="en-US" sz="1100"/>
        </a:p>
      </xdr:txBody>
    </xdr:sp>
    <xdr:clientData/>
  </xdr:twoCellAnchor>
  <xdr:twoCellAnchor>
    <xdr:from>
      <xdr:col>20</xdr:col>
      <xdr:colOff>228600</xdr:colOff>
      <xdr:row>12</xdr:row>
      <xdr:rowOff>171824</xdr:rowOff>
    </xdr:from>
    <xdr:to>
      <xdr:col>23</xdr:col>
      <xdr:colOff>625098</xdr:colOff>
      <xdr:row>22</xdr:row>
      <xdr:rowOff>21761</xdr:rowOff>
    </xdr:to>
    <xdr:grpSp>
      <xdr:nvGrpSpPr>
        <xdr:cNvPr id="16" name="Groupe 6">
          <a:extLst>
            <a:ext uri="{FF2B5EF4-FFF2-40B4-BE49-F238E27FC236}">
              <a16:creationId xmlns:a16="http://schemas.microsoft.com/office/drawing/2014/main" id="{7B6C2E55-FB65-464F-AA7E-456965864C94}"/>
            </a:ext>
          </a:extLst>
        </xdr:cNvPr>
        <xdr:cNvGrpSpPr>
          <a:grpSpLocks noChangeAspect="1"/>
        </xdr:cNvGrpSpPr>
      </xdr:nvGrpSpPr>
      <xdr:grpSpPr>
        <a:xfrm>
          <a:off x="18295620" y="2640704"/>
          <a:ext cx="2773938" cy="1724457"/>
          <a:chOff x="8819156" y="2242000"/>
          <a:chExt cx="3465269" cy="2345074"/>
        </a:xfrm>
      </xdr:grpSpPr>
      <xdr:pic>
        <xdr:nvPicPr>
          <xdr:cNvPr id="17" name="Image 15">
            <a:extLst>
              <a:ext uri="{FF2B5EF4-FFF2-40B4-BE49-F238E27FC236}">
                <a16:creationId xmlns:a16="http://schemas.microsoft.com/office/drawing/2014/main" id="{3A3CC156-729C-3E98-7C5A-07CA118FD0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891352" y="2446772"/>
            <a:ext cx="3109954" cy="1949381"/>
          </a:xfrm>
          <a:prstGeom prst="rect">
            <a:avLst/>
          </a:prstGeom>
        </xdr:spPr>
      </xdr:pic>
      <xdr:sp macro="" textlink="toit_ramp">
        <xdr:nvSpPr>
          <xdr:cNvPr id="18" name="ZoneTexte 35">
            <a:extLst>
              <a:ext uri="{FF2B5EF4-FFF2-40B4-BE49-F238E27FC236}">
                <a16:creationId xmlns:a16="http://schemas.microsoft.com/office/drawing/2014/main" id="{CAC4AA66-2D73-3C16-2E8C-39E67A8B0E8D}"/>
              </a:ext>
            </a:extLst>
          </xdr:cNvPr>
          <xdr:cNvSpPr txBox="1"/>
        </xdr:nvSpPr>
        <xdr:spPr>
          <a:xfrm rot="18368967">
            <a:off x="8871728" y="2529120"/>
            <a:ext cx="894850" cy="32060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4E039255-E81E-4153-8EE5-6B10188B274A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6,00 m</a:t>
            </a:fld>
            <a:endParaRPr lang="fr-FR" sz="1100" b="1"/>
          </a:p>
        </xdr:txBody>
      </xdr:sp>
      <xdr:sp macro="" textlink="toit_long">
        <xdr:nvSpPr>
          <xdr:cNvPr id="19" name="ZoneTexte 39">
            <a:extLst>
              <a:ext uri="{FF2B5EF4-FFF2-40B4-BE49-F238E27FC236}">
                <a16:creationId xmlns:a16="http://schemas.microsoft.com/office/drawing/2014/main" id="{AFBDDBC0-B568-5EA4-89D7-B8B4CF85661D}"/>
              </a:ext>
            </a:extLst>
          </xdr:cNvPr>
          <xdr:cNvSpPr txBox="1"/>
        </xdr:nvSpPr>
        <xdr:spPr>
          <a:xfrm rot="646145">
            <a:off x="10115902" y="2312947"/>
            <a:ext cx="934921" cy="3194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582ACA66-2600-4892-A88C-442FDB555FB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17,49 m</a:t>
            </a:fld>
            <a:endParaRPr lang="fr-FR" sz="1100"/>
          </a:p>
        </xdr:txBody>
      </xdr:sp>
      <xdr:sp macro="" textlink="toit_larg">
        <xdr:nvSpPr>
          <xdr:cNvPr id="20" name="ZoneTexte 40">
            <a:extLst>
              <a:ext uri="{FF2B5EF4-FFF2-40B4-BE49-F238E27FC236}">
                <a16:creationId xmlns:a16="http://schemas.microsoft.com/office/drawing/2014/main" id="{A605EAB1-B0EA-9F2F-5428-0CFA6BB24F17}"/>
              </a:ext>
            </a:extLst>
          </xdr:cNvPr>
          <xdr:cNvSpPr txBox="1"/>
        </xdr:nvSpPr>
        <xdr:spPr>
          <a:xfrm rot="20621644">
            <a:off x="11085362" y="4267631"/>
            <a:ext cx="934921" cy="3194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E8171F14-8E24-4CC5-ACC7-2B8A8FC36145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11,28 m</a:t>
            </a:fld>
            <a:endParaRPr lang="fr-FR" sz="1100" b="1"/>
          </a:p>
        </xdr:txBody>
      </xdr:sp>
      <xdr:sp macro="" textlink="pente">
        <xdr:nvSpPr>
          <xdr:cNvPr id="21" name="ZoneTexte 51">
            <a:extLst>
              <a:ext uri="{FF2B5EF4-FFF2-40B4-BE49-F238E27FC236}">
                <a16:creationId xmlns:a16="http://schemas.microsoft.com/office/drawing/2014/main" id="{C0A44DD8-2F91-076B-28B0-8E66FAC1BB50}"/>
              </a:ext>
            </a:extLst>
          </xdr:cNvPr>
          <xdr:cNvSpPr txBox="1"/>
        </xdr:nvSpPr>
        <xdr:spPr>
          <a:xfrm rot="20621644">
            <a:off x="8819156" y="3645839"/>
            <a:ext cx="709920" cy="3188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F16D365-ED7E-411A-BC24-657C7FF5D48F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20,0°</a:t>
            </a:fld>
            <a:endParaRPr lang="fr-FR" sz="1100"/>
          </a:p>
        </xdr:txBody>
      </xdr:sp>
      <xdr:sp macro="" textlink="haut_bat">
        <xdr:nvSpPr>
          <xdr:cNvPr id="22" name="ZoneTexte 54">
            <a:extLst>
              <a:ext uri="{FF2B5EF4-FFF2-40B4-BE49-F238E27FC236}">
                <a16:creationId xmlns:a16="http://schemas.microsoft.com/office/drawing/2014/main" id="{95C7E422-1004-4EA5-60B2-8B79930FCDF6}"/>
              </a:ext>
            </a:extLst>
          </xdr:cNvPr>
          <xdr:cNvSpPr txBox="1"/>
        </xdr:nvSpPr>
        <xdr:spPr>
          <a:xfrm rot="16200000">
            <a:off x="11650960" y="3171987"/>
            <a:ext cx="847083" cy="4198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8E4BD91-C109-4F1A-A50C-343F273C101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8,00 m</a:t>
            </a:fld>
            <a:endParaRPr lang="fr-FR" sz="1100"/>
          </a:p>
        </xdr:txBody>
      </xdr:sp>
    </xdr:grpSp>
    <xdr:clientData/>
  </xdr:twoCellAnchor>
  <xdr:twoCellAnchor>
    <xdr:from>
      <xdr:col>20</xdr:col>
      <xdr:colOff>245599</xdr:colOff>
      <xdr:row>1</xdr:row>
      <xdr:rowOff>172035</xdr:rowOff>
    </xdr:from>
    <xdr:to>
      <xdr:col>23</xdr:col>
      <xdr:colOff>560477</xdr:colOff>
      <xdr:row>11</xdr:row>
      <xdr:rowOff>77973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70545C92-A1E2-4959-B40C-B610CEFE26D1}"/>
            </a:ext>
          </a:extLst>
        </xdr:cNvPr>
        <xdr:cNvGrpSpPr/>
      </xdr:nvGrpSpPr>
      <xdr:grpSpPr>
        <a:xfrm>
          <a:off x="18312619" y="400635"/>
          <a:ext cx="2692318" cy="1963338"/>
          <a:chOff x="4859943" y="3253697"/>
          <a:chExt cx="2690707" cy="1731953"/>
        </a:xfrm>
      </xdr:grpSpPr>
      <xdr:pic>
        <xdr:nvPicPr>
          <xdr:cNvPr id="5" name="Image 4">
            <a:extLst>
              <a:ext uri="{FF2B5EF4-FFF2-40B4-BE49-F238E27FC236}">
                <a16:creationId xmlns:a16="http://schemas.microsoft.com/office/drawing/2014/main" id="{72FC6787-0248-FF32-F95C-6C25BDE7DB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921598" y="3344457"/>
            <a:ext cx="2435840" cy="1532229"/>
          </a:xfrm>
          <a:prstGeom prst="rect">
            <a:avLst/>
          </a:prstGeom>
        </xdr:spPr>
      </xdr:pic>
      <xdr:grpSp>
        <xdr:nvGrpSpPr>
          <xdr:cNvPr id="6" name="Groupe 5">
            <a:extLst>
              <a:ext uri="{FF2B5EF4-FFF2-40B4-BE49-F238E27FC236}">
                <a16:creationId xmlns:a16="http://schemas.microsoft.com/office/drawing/2014/main" id="{09602FC5-45AC-0F81-D694-D40C5030ED90}"/>
              </a:ext>
            </a:extLst>
          </xdr:cNvPr>
          <xdr:cNvGrpSpPr>
            <a:grpSpLocks noChangeAspect="1"/>
          </xdr:cNvGrpSpPr>
        </xdr:nvGrpSpPr>
        <xdr:grpSpPr>
          <a:xfrm>
            <a:off x="4856133" y="3249887"/>
            <a:ext cx="2698327" cy="1731953"/>
            <a:chOff x="5239542" y="2353291"/>
            <a:chExt cx="3559065" cy="2223983"/>
          </a:xfrm>
        </xdr:grpSpPr>
        <xdr:sp macro="" textlink="toit_ramp">
          <xdr:nvSpPr>
            <xdr:cNvPr id="7" name="ZoneTexte 6">
              <a:extLst>
                <a:ext uri="{FF2B5EF4-FFF2-40B4-BE49-F238E27FC236}">
                  <a16:creationId xmlns:a16="http://schemas.microsoft.com/office/drawing/2014/main" id="{26F8411C-7BE6-24AC-6AC0-F78499338B57}"/>
                </a:ext>
              </a:extLst>
            </xdr:cNvPr>
            <xdr:cNvSpPr txBox="1"/>
          </xdr:nvSpPr>
          <xdr:spPr>
            <a:xfrm rot="19019397">
              <a:off x="5658070" y="2635163"/>
              <a:ext cx="791367" cy="21183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6EAEA375-4EA2-4F75-91FE-609BBA631AC3}" type="TxLink">
                <a:rPr lang="en-US" sz="11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6,00 m</a:t>
              </a:fld>
              <a:endParaRPr lang="fr-FR" sz="1100" b="1"/>
            </a:p>
          </xdr:txBody>
        </xdr:sp>
        <xdr:sp macro="" textlink="toit_long">
          <xdr:nvSpPr>
            <xdr:cNvPr id="8" name="ZoneTexte 7">
              <a:extLst>
                <a:ext uri="{FF2B5EF4-FFF2-40B4-BE49-F238E27FC236}">
                  <a16:creationId xmlns:a16="http://schemas.microsoft.com/office/drawing/2014/main" id="{EB075C47-DEFA-2181-B018-E952CDF93FB0}"/>
                </a:ext>
              </a:extLst>
            </xdr:cNvPr>
            <xdr:cNvSpPr txBox="1"/>
          </xdr:nvSpPr>
          <xdr:spPr>
            <a:xfrm rot="646145">
              <a:off x="7145109" y="2353291"/>
              <a:ext cx="953350" cy="3187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6BA0F0D0-7035-4887-B45A-F6BA2E01570C}" type="TxLink">
                <a:rPr lang="en-US" sz="110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17,49 m</a:t>
              </a:fld>
              <a:endParaRPr lang="fr-FR" sz="1100"/>
            </a:p>
          </xdr:txBody>
        </xdr:sp>
        <xdr:sp macro="" textlink="toit_larg">
          <xdr:nvSpPr>
            <xdr:cNvPr id="9" name="ZoneTexte 8">
              <a:extLst>
                <a:ext uri="{FF2B5EF4-FFF2-40B4-BE49-F238E27FC236}">
                  <a16:creationId xmlns:a16="http://schemas.microsoft.com/office/drawing/2014/main" id="{B9555189-B72A-0030-8C63-64384E918F24}"/>
                </a:ext>
              </a:extLst>
            </xdr:cNvPr>
            <xdr:cNvSpPr txBox="1"/>
          </xdr:nvSpPr>
          <xdr:spPr>
            <a:xfrm rot="20621644">
              <a:off x="7653054" y="4258482"/>
              <a:ext cx="1056368" cy="3187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07C857A4-2766-4DE9-A6A3-533C4824C135}" type="TxLink">
                <a:rPr lang="en-US" sz="1100" b="1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11,28 m</a:t>
              </a:fld>
              <a:endParaRPr lang="fr-FR" sz="1100" b="1"/>
            </a:p>
          </xdr:txBody>
        </xdr:sp>
        <xdr:sp macro="" textlink="pente">
          <xdr:nvSpPr>
            <xdr:cNvPr id="10" name="ZoneTexte 9">
              <a:extLst>
                <a:ext uri="{FF2B5EF4-FFF2-40B4-BE49-F238E27FC236}">
                  <a16:creationId xmlns:a16="http://schemas.microsoft.com/office/drawing/2014/main" id="{8CAA1D54-2535-1445-6740-6127443C3BFC}"/>
                </a:ext>
              </a:extLst>
            </xdr:cNvPr>
            <xdr:cNvSpPr txBox="1"/>
          </xdr:nvSpPr>
          <xdr:spPr>
            <a:xfrm rot="20621644">
              <a:off x="5239542" y="3658849"/>
              <a:ext cx="709670" cy="3187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7F16D365-ED7E-411A-BC24-657C7FF5D48F}" type="TxLink">
                <a:rPr lang="en-US" sz="110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20,0°</a:t>
              </a:fld>
              <a:endParaRPr lang="fr-FR" sz="1100"/>
            </a:p>
          </xdr:txBody>
        </xdr:sp>
        <xdr:sp macro="" textlink="haut_bat">
          <xdr:nvSpPr>
            <xdr:cNvPr id="11" name="ZoneTexte 10">
              <a:extLst>
                <a:ext uri="{FF2B5EF4-FFF2-40B4-BE49-F238E27FC236}">
                  <a16:creationId xmlns:a16="http://schemas.microsoft.com/office/drawing/2014/main" id="{B026CC37-7EA0-384E-F62A-425801587919}"/>
                </a:ext>
              </a:extLst>
            </xdr:cNvPr>
            <xdr:cNvSpPr txBox="1"/>
          </xdr:nvSpPr>
          <xdr:spPr>
            <a:xfrm rot="16200000">
              <a:off x="8140079" y="3237658"/>
              <a:ext cx="973779" cy="3432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6BCFD1B2-2D93-401C-A9F9-1A8EB3818A5D}" type="TxLink">
                <a:rPr lang="en-US" sz="110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ctr"/>
                <a:t>8,00 m</a:t>
              </a:fld>
              <a:endParaRPr lang="fr-FR" sz="1100"/>
            </a:p>
          </xdr:txBody>
        </xdr:sp>
      </xdr:grpSp>
    </xdr:grpSp>
    <xdr:clientData/>
  </xdr:twoCellAnchor>
  <xdr:twoCellAnchor>
    <xdr:from>
      <xdr:col>14</xdr:col>
      <xdr:colOff>520134</xdr:colOff>
      <xdr:row>20</xdr:row>
      <xdr:rowOff>16280</xdr:rowOff>
    </xdr:from>
    <xdr:to>
      <xdr:col>14</xdr:col>
      <xdr:colOff>520849</xdr:colOff>
      <xdr:row>21</xdr:row>
      <xdr:rowOff>159259</xdr:rowOff>
    </xdr:to>
    <xdr:cxnSp macro="">
      <xdr:nvCxnSpPr>
        <xdr:cNvPr id="2" name="Connecteur droit avec flèche 31">
          <a:extLst>
            <a:ext uri="{FF2B5EF4-FFF2-40B4-BE49-F238E27FC236}">
              <a16:creationId xmlns:a16="http://schemas.microsoft.com/office/drawing/2014/main" id="{D69D21ED-C253-F71F-3A5B-822FA0264012}"/>
            </a:ext>
          </a:extLst>
        </xdr:cNvPr>
        <xdr:cNvCxnSpPr/>
      </xdr:nvCxnSpPr>
      <xdr:spPr>
        <a:xfrm>
          <a:off x="13550334" y="3959630"/>
          <a:ext cx="715" cy="323954"/>
        </a:xfrm>
        <a:prstGeom prst="straightConnector1">
          <a:avLst/>
        </a:prstGeom>
        <a:ln>
          <a:solidFill>
            <a:schemeClr val="accent1"/>
          </a:solidFill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313631</xdr:colOff>
      <xdr:row>18</xdr:row>
      <xdr:rowOff>162271</xdr:rowOff>
    </xdr:from>
    <xdr:to>
      <xdr:col>14</xdr:col>
      <xdr:colOff>470347</xdr:colOff>
      <xdr:row>23</xdr:row>
      <xdr:rowOff>1117</xdr:rowOff>
    </xdr:to>
    <xdr:sp macro="" textlink="toit_dim0_e10_proj">
      <xdr:nvSpPr>
        <xdr:cNvPr id="3" name="Rectangle 2">
          <a:extLst>
            <a:ext uri="{FF2B5EF4-FFF2-40B4-BE49-F238E27FC236}">
              <a16:creationId xmlns:a16="http://schemas.microsoft.com/office/drawing/2014/main" id="{B34865FB-B4E0-8058-0745-F5BFD39F63F6}"/>
            </a:ext>
          </a:extLst>
        </xdr:cNvPr>
        <xdr:cNvSpPr/>
      </xdr:nvSpPr>
      <xdr:spPr>
        <a:xfrm rot="16200000">
          <a:off x="13050328" y="4037174"/>
          <a:ext cx="743721" cy="156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D1AC706-6136-4F84-B22A-03943B87AAE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1,70m</a:t>
          </a:fld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14</xdr:row>
      <xdr:rowOff>123825</xdr:rowOff>
    </xdr:from>
    <xdr:ext cx="2390775" cy="3143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ZoneTexte 1">
              <a:extLst>
                <a:ext uri="{FF2B5EF4-FFF2-40B4-BE49-F238E27FC236}">
                  <a16:creationId xmlns:a16="http://schemas.microsoft.com/office/drawing/2014/main" id="{000D3D9E-C6A3-4E8C-BAD1-72FE75D0FEAD}"/>
                </a:ext>
              </a:extLst>
            </xdr:cNvPr>
            <xdr:cNvSpPr txBox="1"/>
          </xdr:nvSpPr>
          <xdr:spPr>
            <a:xfrm>
              <a:off x="830580" y="2087880"/>
              <a:ext cx="2390775" cy="314325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𝒎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𝒓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𝟎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2" name="ZoneTexte 1">
              <a:extLst>
                <a:ext uri="{FF2B5EF4-FFF2-40B4-BE49-F238E27FC236}">
                  <a16:creationId xmlns:a16="http://schemas.microsoft.com/office/drawing/2014/main" id="{000D3D9E-C6A3-4E8C-BAD1-72FE75D0FEAD}"/>
                </a:ext>
              </a:extLst>
            </xdr:cNvPr>
            <xdr:cNvSpPr txBox="1"/>
          </xdr:nvSpPr>
          <xdr:spPr>
            <a:xfrm>
              <a:off x="830580" y="2087880"/>
              <a:ext cx="2390775" cy="314325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𝑽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𝒓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∗𝑽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𝒃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4</xdr:col>
      <xdr:colOff>238125</xdr:colOff>
      <xdr:row>14</xdr:row>
      <xdr:rowOff>19050</xdr:rowOff>
    </xdr:from>
    <xdr:ext cx="2154939" cy="5369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ZoneTexte 2">
              <a:extLst>
                <a:ext uri="{FF2B5EF4-FFF2-40B4-BE49-F238E27FC236}">
                  <a16:creationId xmlns:a16="http://schemas.microsoft.com/office/drawing/2014/main" id="{2E69CF6F-C46B-4744-B86C-25F70C050EEB}"/>
                </a:ext>
              </a:extLst>
            </xdr:cNvPr>
            <xdr:cNvSpPr txBox="1"/>
          </xdr:nvSpPr>
          <xdr:spPr>
            <a:xfrm>
              <a:off x="3478530" y="1977390"/>
              <a:ext cx="2154939" cy="53690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𝑰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f>
                      <m:f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𝒌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</a:rPr>
                              <m:t>𝑰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𝒄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</a:rPr>
                              <m:t>𝟎</m:t>
                            </m:r>
                          </m:sub>
                        </m:sSub>
                        <m:d>
                          <m:d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𝒛</m:t>
                            </m:r>
                          </m:e>
                        </m:d>
                        <m:r>
                          <a:rPr lang="fr-FR" sz="1200" b="1" i="1">
                            <a:latin typeface="Cambria Math"/>
                          </a:rPr>
                          <m:t>∗</m:t>
                        </m:r>
                        <m:func>
                          <m:func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funcPr>
                          <m:fName>
                            <m:r>
                              <m:rPr>
                                <m:sty m:val="p"/>
                              </m:rPr>
                              <a:rPr lang="fr-FR" sz="1200" b="0" i="0">
                                <a:latin typeface="Cambria Math"/>
                              </a:rPr>
                              <m:t>ln</m:t>
                            </m:r>
                          </m:fName>
                          <m:e>
                            <m:r>
                              <a:rPr lang="fr-FR" sz="1200" b="0" i="1">
                                <a:latin typeface="Cambria Math"/>
                              </a:rPr>
                              <m:t>(</m:t>
                            </m:r>
                            <m:f>
                              <m:fPr>
                                <m:type m:val="lin"/>
                                <m:ctrlPr>
                                  <a:rPr lang="fr-FR" sz="12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fr-FR" sz="1200" b="0" i="1">
                                    <a:latin typeface="Cambria Math"/>
                                  </a:rPr>
                                  <m:t>𝑧</m:t>
                                </m:r>
                              </m:num>
                              <m:den>
                                <m:sSub>
                                  <m:sSubPr>
                                    <m:ctrlPr>
                                      <a:rPr lang="fr-FR" sz="12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fr-FR" sz="1200" b="0" i="1">
                                        <a:latin typeface="Cambria Math"/>
                                      </a:rPr>
                                      <m:t>𝑧</m:t>
                                    </m:r>
                                  </m:e>
                                  <m:sub>
                                    <m:r>
                                      <a:rPr lang="fr-FR" sz="1200" b="0" i="1">
                                        <a:latin typeface="Cambria Math"/>
                                      </a:rPr>
                                      <m:t>0</m:t>
                                    </m:r>
                                  </m:sub>
                                </m:sSub>
                                <m:r>
                                  <a:rPr lang="fr-FR" sz="1200" b="0" i="1">
                                    <a:latin typeface="Cambria Math"/>
                                  </a:rPr>
                                  <m:t>)</m:t>
                                </m:r>
                              </m:den>
                            </m:f>
                          </m:e>
                        </m:func>
                      </m:den>
                    </m:f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3" name="ZoneTexte 2">
              <a:extLst>
                <a:ext uri="{FF2B5EF4-FFF2-40B4-BE49-F238E27FC236}">
                  <a16:creationId xmlns:a16="http://schemas.microsoft.com/office/drawing/2014/main" id="{2E69CF6F-C46B-4744-B86C-25F70C050EEB}"/>
                </a:ext>
              </a:extLst>
            </xdr:cNvPr>
            <xdr:cNvSpPr txBox="1"/>
          </xdr:nvSpPr>
          <xdr:spPr>
            <a:xfrm>
              <a:off x="3478530" y="1977390"/>
              <a:ext cx="2154939" cy="53690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𝑰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𝑽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=𝒌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𝑰</a:t>
              </a:r>
              <a:r>
                <a:rPr lang="fr-FR" sz="1200" b="1" i="0">
                  <a:latin typeface="Cambria Math" panose="02040503050406030204" pitchFamily="18" charset="0"/>
                </a:rPr>
                <a:t>/(</a:t>
              </a:r>
              <a:r>
                <a:rPr lang="fr-FR" sz="1200" b="1" i="0">
                  <a:latin typeface="Cambria Math"/>
                </a:rPr>
                <a:t>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</a:t>
              </a:r>
              <a:r>
                <a:rPr lang="fr-FR" sz="1200" b="0" i="0">
                  <a:latin typeface="Cambria Math"/>
                </a:rPr>
                <a:t>ln</a:t>
              </a:r>
              <a:r>
                <a:rPr lang="fr-FR" sz="1200" b="1" i="0">
                  <a:latin typeface="Cambria Math" panose="02040503050406030204" pitchFamily="18" charset="0"/>
                </a:rPr>
                <a:t>⁡〖</a:t>
              </a:r>
              <a:r>
                <a:rPr lang="fr-FR" sz="1200" b="0" i="0">
                  <a:latin typeface="Cambria Math"/>
                </a:rPr>
                <a:t>(𝑧</a:t>
              </a:r>
              <a:r>
                <a:rPr lang="fr-FR" sz="1200" b="0" i="0">
                  <a:latin typeface="Cambria Math" panose="02040503050406030204" pitchFamily="18" charset="0"/>
                </a:rPr>
                <a:t>∕〖</a:t>
              </a:r>
              <a:r>
                <a:rPr lang="fr-FR" sz="1200" b="0" i="0">
                  <a:latin typeface="Cambria Math"/>
                </a:rPr>
                <a:t>𝑧</a:t>
              </a:r>
              <a:r>
                <a:rPr lang="fr-FR" sz="1200" b="0" i="0">
                  <a:latin typeface="Cambria Math" panose="02040503050406030204" pitchFamily="18" charset="0"/>
                </a:rPr>
                <a:t>_</a:t>
              </a:r>
              <a:r>
                <a:rPr lang="fr-FR" sz="1200" b="0" i="0">
                  <a:latin typeface="Cambria Math"/>
                </a:rPr>
                <a:t>0)</a:t>
              </a:r>
              <a:r>
                <a:rPr lang="fr-FR" sz="1200" b="0" i="0">
                  <a:latin typeface="Cambria Math" panose="02040503050406030204" pitchFamily="18" charset="0"/>
                </a:rPr>
                <a:t>〗</a:t>
              </a:r>
              <a:r>
                <a:rPr lang="fr-FR" sz="1200" b="1" i="0">
                  <a:latin typeface="Cambria Math" panose="02040503050406030204" pitchFamily="18" charset="0"/>
                </a:rPr>
                <a:t>〗 )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7</xdr:col>
      <xdr:colOff>247650</xdr:colOff>
      <xdr:row>14</xdr:row>
      <xdr:rowOff>28575</xdr:rowOff>
    </xdr:from>
    <xdr:ext cx="2812677" cy="5154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ZoneTexte 3">
              <a:extLst>
                <a:ext uri="{FF2B5EF4-FFF2-40B4-BE49-F238E27FC236}">
                  <a16:creationId xmlns:a16="http://schemas.microsoft.com/office/drawing/2014/main" id="{156167E4-5C54-433C-88B3-BBAD499571A1}"/>
                </a:ext>
              </a:extLst>
            </xdr:cNvPr>
            <xdr:cNvSpPr txBox="1"/>
          </xdr:nvSpPr>
          <xdr:spPr>
            <a:xfrm>
              <a:off x="5844540" y="1988820"/>
              <a:ext cx="2812677" cy="515470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𝒒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𝒑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d>
                      <m:dPr>
                        <m:begChr m:val="["/>
                        <m:endChr m:val="]"/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𝟏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𝟕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∗</m:t>
                        </m:r>
                        <m:sSub>
                          <m:sSub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𝑰</m:t>
                            </m:r>
                          </m:e>
                          <m:sub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𝑽</m:t>
                            </m:r>
                          </m:sub>
                        </m:sSub>
                        <m:d>
                          <m:d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𝒛</m:t>
                            </m:r>
                          </m:e>
                        </m:d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f>
                      <m:f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fr-FR" sz="1200" b="1" i="1">
                            <a:latin typeface="Cambria Math"/>
                          </a:rPr>
                          <m:t>𝟏</m:t>
                        </m:r>
                      </m:num>
                      <m:den>
                        <m:r>
                          <a:rPr lang="fr-FR" sz="1200" b="1" i="1">
                            <a:latin typeface="Cambria Math"/>
                          </a:rPr>
                          <m:t>𝟐</m:t>
                        </m:r>
                      </m:den>
                    </m:f>
                    <m:r>
                      <a:rPr lang="fr-FR" sz="1200" b="1" i="1">
                        <a:latin typeface="Cambria Math"/>
                      </a:rPr>
                      <m:t>∗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𝝆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∗</m:t>
                    </m:r>
                    <m:sSup>
                      <m:sSupPr>
                        <m:ctrlPr>
                          <a:rPr lang="fr-FR" sz="1200" b="1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pPr>
                      <m:e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  <a:ea typeface="Cambria Math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  <a:ea typeface="Cambria Math"/>
                              </a:rPr>
                              <m:t>𝒗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  <a:ea typeface="Cambria Math"/>
                              </a:rPr>
                              <m:t>𝒎</m:t>
                            </m:r>
                          </m:sub>
                        </m:sSub>
                      </m:e>
                      <m:sup>
                        <m:r>
                          <a:rPr lang="fr-FR" sz="1200" b="1" i="1">
                            <a:latin typeface="Cambria Math"/>
                            <a:ea typeface="Cambria Math"/>
                          </a:rPr>
                          <m:t>𝟐</m:t>
                        </m:r>
                      </m:sup>
                    </m:sSup>
                    <m:r>
                      <a:rPr lang="fr-FR" sz="1200" b="1" i="1">
                        <a:latin typeface="Cambria Math"/>
                        <a:ea typeface="Cambria Math"/>
                      </a:rPr>
                      <m:t>(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𝒛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)</m:t>
                    </m:r>
                  </m:oMath>
                </m:oMathPara>
              </a14:m>
              <a:endParaRPr lang="fr-FR" sz="1200" b="1" i="1"/>
            </a:p>
          </xdr:txBody>
        </xdr:sp>
      </mc:Choice>
      <mc:Fallback xmlns="">
        <xdr:sp macro="" textlink="">
          <xdr:nvSpPr>
            <xdr:cNvPr id="4" name="ZoneTexte 3">
              <a:extLst>
                <a:ext uri="{FF2B5EF4-FFF2-40B4-BE49-F238E27FC236}">
                  <a16:creationId xmlns:a16="http://schemas.microsoft.com/office/drawing/2014/main" id="{156167E4-5C54-433C-88B3-BBAD499571A1}"/>
                </a:ext>
              </a:extLst>
            </xdr:cNvPr>
            <xdr:cNvSpPr txBox="1"/>
          </xdr:nvSpPr>
          <xdr:spPr>
            <a:xfrm>
              <a:off x="5844540" y="1988820"/>
              <a:ext cx="2812677" cy="515470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fr-FR" sz="1200" b="1" i="0">
                  <a:latin typeface="Cambria Math"/>
                </a:rPr>
                <a:t>𝒒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𝒑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</a:t>
              </a:r>
              <a:r>
                <a:rPr lang="fr-FR" sz="1200" b="1" i="0">
                  <a:latin typeface="Cambria Math" panose="02040503050406030204" pitchFamily="18" charset="0"/>
                </a:rPr>
                <a:t>[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𝟏+𝟕∗𝑰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𝑽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(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𝒛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)]</a:t>
              </a:r>
              <a:r>
                <a:rPr lang="fr-FR" sz="1200" b="1" i="0">
                  <a:latin typeface="Cambria Math"/>
                </a:rPr>
                <a:t>∗𝟏</a:t>
              </a:r>
              <a:r>
                <a:rPr lang="fr-FR" sz="1200" b="1" i="0">
                  <a:latin typeface="Cambria Math" panose="02040503050406030204" pitchFamily="18" charset="0"/>
                </a:rPr>
                <a:t>/</a:t>
              </a:r>
              <a:r>
                <a:rPr lang="fr-FR" sz="1200" b="1" i="0">
                  <a:latin typeface="Cambria Math"/>
                </a:rPr>
                <a:t>𝟐∗</a:t>
              </a:r>
              <a:r>
                <a:rPr lang="fr-FR" sz="1200" b="1" i="0">
                  <a:latin typeface="Cambria Math"/>
                  <a:ea typeface="Cambria Math"/>
                </a:rPr>
                <a:t>𝝆∗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〖</a:t>
              </a:r>
              <a:r>
                <a:rPr lang="fr-FR" sz="1200" b="1" i="0">
                  <a:latin typeface="Cambria Math"/>
                  <a:ea typeface="Cambria Math"/>
                </a:rPr>
                <a:t>𝒗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fr-FR" sz="1200" b="1" i="0">
                  <a:latin typeface="Cambria Math"/>
                  <a:ea typeface="Cambria Math"/>
                </a:rPr>
                <a:t>𝒎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〗^</a:t>
              </a:r>
              <a:r>
                <a:rPr lang="fr-FR" sz="1200" b="1" i="0">
                  <a:latin typeface="Cambria Math"/>
                  <a:ea typeface="Cambria Math"/>
                </a:rPr>
                <a:t>𝟐 (𝒛)</a:t>
              </a:r>
              <a:endParaRPr lang="fr-FR" sz="1200" b="1" i="1"/>
            </a:p>
          </xdr:txBody>
        </xdr:sp>
      </mc:Fallback>
    </mc:AlternateContent>
    <xdr:clientData/>
  </xdr:oneCellAnchor>
  <xdr:oneCellAnchor>
    <xdr:from>
      <xdr:col>11</xdr:col>
      <xdr:colOff>104775</xdr:colOff>
      <xdr:row>13</xdr:row>
      <xdr:rowOff>171450</xdr:rowOff>
    </xdr:from>
    <xdr:ext cx="1479177" cy="6140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ZoneTexte 4">
              <a:extLst>
                <a:ext uri="{FF2B5EF4-FFF2-40B4-BE49-F238E27FC236}">
                  <a16:creationId xmlns:a16="http://schemas.microsoft.com/office/drawing/2014/main" id="{880819DE-DD9C-4863-A3BE-DA6FE60C985F}"/>
                </a:ext>
              </a:extLst>
            </xdr:cNvPr>
            <xdr:cNvSpPr txBox="1"/>
          </xdr:nvSpPr>
          <xdr:spPr>
            <a:xfrm>
              <a:off x="8951595" y="1948815"/>
              <a:ext cx="1479177" cy="61407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400" b="1" i="1">
                            <a:latin typeface="Cambria Math"/>
                          </a:rPr>
                          <m:t>𝑷</m:t>
                        </m:r>
                      </m:e>
                      <m:sub>
                        <m:r>
                          <a:rPr lang="fr-FR" sz="1400" b="1" i="1">
                            <a:latin typeface="Cambria Math"/>
                          </a:rPr>
                          <m:t>𝒘</m:t>
                        </m:r>
                      </m:sub>
                    </m:sSub>
                    <m:r>
                      <a:rPr lang="fr-FR" sz="1400" b="1" i="1">
                        <a:latin typeface="Cambria Math"/>
                      </a:rPr>
                      <m:t>= </m:t>
                    </m:r>
                    <m:nary>
                      <m:naryPr>
                        <m:chr m:val="∑"/>
                        <m:subHide m:val="on"/>
                        <m:supHide m:val="on"/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naryPr>
                      <m:sub/>
                      <m:sup/>
                      <m:e>
                        <m:sSub>
                          <m:sSubPr>
                            <m:ctrlPr>
                              <a:rPr lang="fr-FR" sz="14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400" b="1" i="1">
                                <a:latin typeface="Cambria Math"/>
                              </a:rPr>
                              <m:t>𝒘</m:t>
                            </m:r>
                          </m:e>
                          <m:sub>
                            <m:r>
                              <a:rPr lang="fr-FR" sz="1400" b="1" i="1">
                                <a:latin typeface="Cambria Math"/>
                              </a:rPr>
                              <m:t>𝒆</m:t>
                            </m:r>
                          </m:sub>
                        </m:sSub>
                      </m:e>
                    </m:nary>
                    <m:r>
                      <a:rPr lang="fr-FR" sz="1400" b="1" i="1">
                        <a:latin typeface="Cambria Math"/>
                      </a:rPr>
                      <m:t>,</m:t>
                    </m:r>
                    <m:sSub>
                      <m:sSubPr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400" b="1" i="1">
                            <a:latin typeface="Cambria Math"/>
                          </a:rPr>
                          <m:t>𝒘</m:t>
                        </m:r>
                      </m:e>
                      <m:sub>
                        <m:r>
                          <a:rPr lang="fr-FR" sz="1400" b="1" i="1">
                            <a:latin typeface="Cambria Math"/>
                          </a:rPr>
                          <m:t>𝒊</m:t>
                        </m:r>
                      </m:sub>
                    </m:sSub>
                  </m:oMath>
                </m:oMathPara>
              </a14:m>
              <a:endParaRPr lang="fr-FR" sz="1400" b="1"/>
            </a:p>
          </xdr:txBody>
        </xdr:sp>
      </mc:Choice>
      <mc:Fallback xmlns="">
        <xdr:sp macro="" textlink="">
          <xdr:nvSpPr>
            <xdr:cNvPr id="5" name="ZoneTexte 4">
              <a:extLst>
                <a:ext uri="{FF2B5EF4-FFF2-40B4-BE49-F238E27FC236}">
                  <a16:creationId xmlns:a16="http://schemas.microsoft.com/office/drawing/2014/main" id="{880819DE-DD9C-4863-A3BE-DA6FE60C985F}"/>
                </a:ext>
              </a:extLst>
            </xdr:cNvPr>
            <xdr:cNvSpPr txBox="1"/>
          </xdr:nvSpPr>
          <xdr:spPr>
            <a:xfrm>
              <a:off x="8951595" y="1948815"/>
              <a:ext cx="1479177" cy="61407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fr-FR" sz="1400" b="1" i="0">
                  <a:latin typeface="Cambria Math"/>
                </a:rPr>
                <a:t>𝑷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𝒘= </a:t>
              </a:r>
              <a:r>
                <a:rPr lang="fr-FR" sz="1400" b="1" i="0">
                  <a:latin typeface="Cambria Math" panose="02040503050406030204" pitchFamily="18" charset="0"/>
                </a:rPr>
                <a:t>∑▒</a:t>
              </a:r>
              <a:r>
                <a:rPr lang="fr-FR" sz="1400" b="1" i="0">
                  <a:latin typeface="Cambria Math"/>
                </a:rPr>
                <a:t>𝒘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𝒆</a:t>
              </a:r>
              <a:r>
                <a:rPr lang="fr-FR" sz="1400" b="1" i="0">
                  <a:latin typeface="Cambria Math" panose="02040503050406030204" pitchFamily="18" charset="0"/>
                </a:rPr>
                <a:t> </a:t>
              </a:r>
              <a:r>
                <a:rPr lang="fr-FR" sz="1400" b="1" i="0">
                  <a:latin typeface="Cambria Math"/>
                </a:rPr>
                <a:t>,𝒘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𝒊</a:t>
              </a:r>
              <a:endParaRPr lang="fr-FR" sz="1400" b="1"/>
            </a:p>
          </xdr:txBody>
        </xdr:sp>
      </mc:Fallback>
    </mc:AlternateContent>
    <xdr:clientData/>
  </xdr:oneCellAnchor>
  <xdr:oneCellAnchor>
    <xdr:from>
      <xdr:col>1</xdr:col>
      <xdr:colOff>47625</xdr:colOff>
      <xdr:row>14</xdr:row>
      <xdr:rowOff>123825</xdr:rowOff>
    </xdr:from>
    <xdr:ext cx="2390775" cy="3143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ZoneTexte 6">
              <a:extLst>
                <a:ext uri="{FF2B5EF4-FFF2-40B4-BE49-F238E27FC236}">
                  <a16:creationId xmlns:a16="http://schemas.microsoft.com/office/drawing/2014/main" id="{F4B1A5B3-808B-4862-A853-E7291DFB3426}"/>
                </a:ext>
              </a:extLst>
            </xdr:cNvPr>
            <xdr:cNvSpPr txBox="1"/>
          </xdr:nvSpPr>
          <xdr:spPr>
            <a:xfrm>
              <a:off x="830580" y="2087880"/>
              <a:ext cx="2390775" cy="314325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𝒎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𝒓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𝟎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7" name="ZoneTexte 6">
              <a:extLst>
                <a:ext uri="{FF2B5EF4-FFF2-40B4-BE49-F238E27FC236}">
                  <a16:creationId xmlns:a16="http://schemas.microsoft.com/office/drawing/2014/main" id="{F4B1A5B3-808B-4862-A853-E7291DFB3426}"/>
                </a:ext>
              </a:extLst>
            </xdr:cNvPr>
            <xdr:cNvSpPr txBox="1"/>
          </xdr:nvSpPr>
          <xdr:spPr>
            <a:xfrm>
              <a:off x="830580" y="2087880"/>
              <a:ext cx="2390775" cy="314325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𝑽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𝒓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∗𝑽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𝒃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4</xdr:col>
      <xdr:colOff>238125</xdr:colOff>
      <xdr:row>14</xdr:row>
      <xdr:rowOff>19050</xdr:rowOff>
    </xdr:from>
    <xdr:ext cx="2154939" cy="5369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ZoneTexte 7">
              <a:extLst>
                <a:ext uri="{FF2B5EF4-FFF2-40B4-BE49-F238E27FC236}">
                  <a16:creationId xmlns:a16="http://schemas.microsoft.com/office/drawing/2014/main" id="{C52B9481-637F-4410-A5B5-2C0EAC7298D6}"/>
                </a:ext>
              </a:extLst>
            </xdr:cNvPr>
            <xdr:cNvSpPr txBox="1"/>
          </xdr:nvSpPr>
          <xdr:spPr>
            <a:xfrm>
              <a:off x="3478530" y="1977390"/>
              <a:ext cx="2154939" cy="53690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𝑰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𝑽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f>
                      <m:f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𝒌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</a:rPr>
                              <m:t>𝑰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𝒄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</a:rPr>
                              <m:t>𝟎</m:t>
                            </m:r>
                          </m:sub>
                        </m:sSub>
                        <m:d>
                          <m:d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fr-FR" sz="1200" b="1" i="1">
                                <a:latin typeface="Cambria Math"/>
                              </a:rPr>
                              <m:t>𝒛</m:t>
                            </m:r>
                          </m:e>
                        </m:d>
                        <m:r>
                          <a:rPr lang="fr-FR" sz="1200" b="1" i="1">
                            <a:latin typeface="Cambria Math"/>
                          </a:rPr>
                          <m:t>∗</m:t>
                        </m:r>
                        <m:func>
                          <m:funcPr>
                            <m:ctrlPr>
                              <a:rPr lang="fr-FR" sz="1200" b="1" i="1">
                                <a:latin typeface="Cambria Math" panose="02040503050406030204" pitchFamily="18" charset="0"/>
                              </a:rPr>
                            </m:ctrlPr>
                          </m:funcPr>
                          <m:fName>
                            <m:r>
                              <m:rPr>
                                <m:sty m:val="p"/>
                              </m:rPr>
                              <a:rPr lang="fr-FR" sz="1200" b="0" i="0">
                                <a:latin typeface="Cambria Math"/>
                              </a:rPr>
                              <m:t>ln</m:t>
                            </m:r>
                          </m:fName>
                          <m:e>
                            <m:r>
                              <a:rPr lang="fr-FR" sz="1200" b="0" i="1">
                                <a:latin typeface="Cambria Math"/>
                              </a:rPr>
                              <m:t>(</m:t>
                            </m:r>
                            <m:f>
                              <m:fPr>
                                <m:type m:val="lin"/>
                                <m:ctrlPr>
                                  <a:rPr lang="fr-FR" sz="1200" b="0" i="1"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fr-FR" sz="1200" b="0" i="1">
                                    <a:latin typeface="Cambria Math"/>
                                  </a:rPr>
                                  <m:t>𝑧</m:t>
                                </m:r>
                              </m:num>
                              <m:den>
                                <m:sSub>
                                  <m:sSubPr>
                                    <m:ctrlPr>
                                      <a:rPr lang="fr-FR" sz="12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fr-FR" sz="1200" b="0" i="1">
                                        <a:latin typeface="Cambria Math"/>
                                      </a:rPr>
                                      <m:t>𝑧</m:t>
                                    </m:r>
                                  </m:e>
                                  <m:sub>
                                    <m:r>
                                      <a:rPr lang="fr-FR" sz="1200" b="0" i="1">
                                        <a:latin typeface="Cambria Math"/>
                                      </a:rPr>
                                      <m:t>0</m:t>
                                    </m:r>
                                  </m:sub>
                                </m:sSub>
                                <m:r>
                                  <a:rPr lang="fr-FR" sz="1200" b="0" i="1">
                                    <a:latin typeface="Cambria Math"/>
                                  </a:rPr>
                                  <m:t>)</m:t>
                                </m:r>
                              </m:den>
                            </m:f>
                          </m:e>
                        </m:func>
                      </m:den>
                    </m:f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8" name="ZoneTexte 7">
              <a:extLst>
                <a:ext uri="{FF2B5EF4-FFF2-40B4-BE49-F238E27FC236}">
                  <a16:creationId xmlns:a16="http://schemas.microsoft.com/office/drawing/2014/main" id="{C52B9481-637F-4410-A5B5-2C0EAC7298D6}"/>
                </a:ext>
              </a:extLst>
            </xdr:cNvPr>
            <xdr:cNvSpPr txBox="1"/>
          </xdr:nvSpPr>
          <xdr:spPr>
            <a:xfrm>
              <a:off x="3478530" y="1977390"/>
              <a:ext cx="2154939" cy="53690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𝑰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𝑽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=𝒌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𝑰</a:t>
              </a:r>
              <a:r>
                <a:rPr lang="fr-FR" sz="1200" b="1" i="0">
                  <a:latin typeface="Cambria Math" panose="02040503050406030204" pitchFamily="18" charset="0"/>
                </a:rPr>
                <a:t>/(</a:t>
              </a:r>
              <a:r>
                <a:rPr lang="fr-FR" sz="1200" b="1" i="0">
                  <a:latin typeface="Cambria Math"/>
                </a:rPr>
                <a:t>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𝟎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</a:t>
              </a:r>
              <a:r>
                <a:rPr lang="fr-FR" sz="1200" b="0" i="0">
                  <a:latin typeface="Cambria Math"/>
                </a:rPr>
                <a:t>ln</a:t>
              </a:r>
              <a:r>
                <a:rPr lang="fr-FR" sz="1200" b="1" i="0">
                  <a:latin typeface="Cambria Math" panose="02040503050406030204" pitchFamily="18" charset="0"/>
                </a:rPr>
                <a:t>⁡〖</a:t>
              </a:r>
              <a:r>
                <a:rPr lang="fr-FR" sz="1200" b="0" i="0">
                  <a:latin typeface="Cambria Math"/>
                </a:rPr>
                <a:t>(𝑧</a:t>
              </a:r>
              <a:r>
                <a:rPr lang="fr-FR" sz="1200" b="0" i="0">
                  <a:latin typeface="Cambria Math" panose="02040503050406030204" pitchFamily="18" charset="0"/>
                </a:rPr>
                <a:t>∕〖</a:t>
              </a:r>
              <a:r>
                <a:rPr lang="fr-FR" sz="1200" b="0" i="0">
                  <a:latin typeface="Cambria Math"/>
                </a:rPr>
                <a:t>𝑧</a:t>
              </a:r>
              <a:r>
                <a:rPr lang="fr-FR" sz="1200" b="0" i="0">
                  <a:latin typeface="Cambria Math" panose="02040503050406030204" pitchFamily="18" charset="0"/>
                </a:rPr>
                <a:t>_</a:t>
              </a:r>
              <a:r>
                <a:rPr lang="fr-FR" sz="1200" b="0" i="0">
                  <a:latin typeface="Cambria Math"/>
                </a:rPr>
                <a:t>0)</a:t>
              </a:r>
              <a:r>
                <a:rPr lang="fr-FR" sz="1200" b="0" i="0">
                  <a:latin typeface="Cambria Math" panose="02040503050406030204" pitchFamily="18" charset="0"/>
                </a:rPr>
                <a:t>〗</a:t>
              </a:r>
              <a:r>
                <a:rPr lang="fr-FR" sz="1200" b="1" i="0">
                  <a:latin typeface="Cambria Math" panose="02040503050406030204" pitchFamily="18" charset="0"/>
                </a:rPr>
                <a:t>〗 )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7</xdr:col>
      <xdr:colOff>247650</xdr:colOff>
      <xdr:row>14</xdr:row>
      <xdr:rowOff>28575</xdr:rowOff>
    </xdr:from>
    <xdr:ext cx="2812677" cy="5154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ZoneTexte 8">
              <a:extLst>
                <a:ext uri="{FF2B5EF4-FFF2-40B4-BE49-F238E27FC236}">
                  <a16:creationId xmlns:a16="http://schemas.microsoft.com/office/drawing/2014/main" id="{0D66CF80-4954-4B5C-AF2E-FA572BA5C0E8}"/>
                </a:ext>
              </a:extLst>
            </xdr:cNvPr>
            <xdr:cNvSpPr txBox="1"/>
          </xdr:nvSpPr>
          <xdr:spPr>
            <a:xfrm>
              <a:off x="5844540" y="1988820"/>
              <a:ext cx="2812677" cy="515470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𝒒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𝒑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d>
                      <m:dPr>
                        <m:begChr m:val="["/>
                        <m:endChr m:val="]"/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𝟏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𝟕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∗</m:t>
                        </m:r>
                        <m:sSub>
                          <m:sSub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𝑰</m:t>
                            </m:r>
                          </m:e>
                          <m:sub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𝑽</m:t>
                            </m:r>
                          </m:sub>
                        </m:sSub>
                        <m:d>
                          <m:d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𝒛</m:t>
                            </m:r>
                          </m:e>
                        </m:d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f>
                      <m:f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fr-FR" sz="1200" b="1" i="1">
                            <a:latin typeface="Cambria Math"/>
                          </a:rPr>
                          <m:t>𝟏</m:t>
                        </m:r>
                      </m:num>
                      <m:den>
                        <m:r>
                          <a:rPr lang="fr-FR" sz="1200" b="1" i="1">
                            <a:latin typeface="Cambria Math"/>
                          </a:rPr>
                          <m:t>𝟐</m:t>
                        </m:r>
                      </m:den>
                    </m:f>
                    <m:r>
                      <a:rPr lang="fr-FR" sz="1200" b="1" i="1">
                        <a:latin typeface="Cambria Math"/>
                      </a:rPr>
                      <m:t>∗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𝝆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∗</m:t>
                    </m:r>
                    <m:sSup>
                      <m:sSupPr>
                        <m:ctrlPr>
                          <a:rPr lang="fr-FR" sz="1200" b="1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pPr>
                      <m:e>
                        <m:sSub>
                          <m:sSubPr>
                            <m:ctrlPr>
                              <a:rPr lang="fr-FR" sz="1200" b="1" i="1">
                                <a:latin typeface="Cambria Math" panose="02040503050406030204" pitchFamily="18" charset="0"/>
                                <a:ea typeface="Cambria Math"/>
                              </a:rPr>
                            </m:ctrlPr>
                          </m:sSubPr>
                          <m:e>
                            <m:r>
                              <a:rPr lang="fr-FR" sz="1200" b="1" i="1">
                                <a:latin typeface="Cambria Math"/>
                                <a:ea typeface="Cambria Math"/>
                              </a:rPr>
                              <m:t>𝒗</m:t>
                            </m:r>
                          </m:e>
                          <m:sub>
                            <m:r>
                              <a:rPr lang="fr-FR" sz="1200" b="1" i="1">
                                <a:latin typeface="Cambria Math"/>
                                <a:ea typeface="Cambria Math"/>
                              </a:rPr>
                              <m:t>𝒎</m:t>
                            </m:r>
                          </m:sub>
                        </m:sSub>
                      </m:e>
                      <m:sup>
                        <m:r>
                          <a:rPr lang="fr-FR" sz="1200" b="1" i="1">
                            <a:latin typeface="Cambria Math"/>
                            <a:ea typeface="Cambria Math"/>
                          </a:rPr>
                          <m:t>𝟐</m:t>
                        </m:r>
                      </m:sup>
                    </m:sSup>
                    <m:r>
                      <a:rPr lang="fr-FR" sz="1200" b="1" i="1">
                        <a:latin typeface="Cambria Math"/>
                        <a:ea typeface="Cambria Math"/>
                      </a:rPr>
                      <m:t>(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𝒛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)</m:t>
                    </m:r>
                  </m:oMath>
                </m:oMathPara>
              </a14:m>
              <a:endParaRPr lang="fr-FR" sz="1200" b="1" i="1"/>
            </a:p>
          </xdr:txBody>
        </xdr:sp>
      </mc:Choice>
      <mc:Fallback xmlns="">
        <xdr:sp macro="" textlink="">
          <xdr:nvSpPr>
            <xdr:cNvPr id="9" name="ZoneTexte 8">
              <a:extLst>
                <a:ext uri="{FF2B5EF4-FFF2-40B4-BE49-F238E27FC236}">
                  <a16:creationId xmlns:a16="http://schemas.microsoft.com/office/drawing/2014/main" id="{0D66CF80-4954-4B5C-AF2E-FA572BA5C0E8}"/>
                </a:ext>
              </a:extLst>
            </xdr:cNvPr>
            <xdr:cNvSpPr txBox="1"/>
          </xdr:nvSpPr>
          <xdr:spPr>
            <a:xfrm>
              <a:off x="5844540" y="1988820"/>
              <a:ext cx="2812677" cy="515470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fr-FR" sz="1200" b="1" i="0">
                  <a:latin typeface="Cambria Math"/>
                </a:rPr>
                <a:t>𝒒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𝒑</a:t>
              </a:r>
              <a:r>
                <a:rPr lang="fr-FR" sz="1200" b="1" i="0">
                  <a:latin typeface="Cambria Math" panose="02040503050406030204" pitchFamily="18" charset="0"/>
                </a:rPr>
                <a:t>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</a:t>
              </a:r>
              <a:r>
                <a:rPr lang="fr-FR" sz="1200" b="1" i="0">
                  <a:latin typeface="Cambria Math" panose="02040503050406030204" pitchFamily="18" charset="0"/>
                </a:rPr>
                <a:t>[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𝟏+𝟕∗𝑰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𝑽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(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𝒛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)]</a:t>
              </a:r>
              <a:r>
                <a:rPr lang="fr-FR" sz="1200" b="1" i="0">
                  <a:latin typeface="Cambria Math"/>
                </a:rPr>
                <a:t>∗𝟏</a:t>
              </a:r>
              <a:r>
                <a:rPr lang="fr-FR" sz="1200" b="1" i="0">
                  <a:latin typeface="Cambria Math" panose="02040503050406030204" pitchFamily="18" charset="0"/>
                </a:rPr>
                <a:t>/</a:t>
              </a:r>
              <a:r>
                <a:rPr lang="fr-FR" sz="1200" b="1" i="0">
                  <a:latin typeface="Cambria Math"/>
                </a:rPr>
                <a:t>𝟐∗</a:t>
              </a:r>
              <a:r>
                <a:rPr lang="fr-FR" sz="1200" b="1" i="0">
                  <a:latin typeface="Cambria Math"/>
                  <a:ea typeface="Cambria Math"/>
                </a:rPr>
                <a:t>𝝆∗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〖</a:t>
              </a:r>
              <a:r>
                <a:rPr lang="fr-FR" sz="1200" b="1" i="0">
                  <a:latin typeface="Cambria Math"/>
                  <a:ea typeface="Cambria Math"/>
                </a:rPr>
                <a:t>𝒗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fr-FR" sz="1200" b="1" i="0">
                  <a:latin typeface="Cambria Math"/>
                  <a:ea typeface="Cambria Math"/>
                </a:rPr>
                <a:t>𝒎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〗^</a:t>
              </a:r>
              <a:r>
                <a:rPr lang="fr-FR" sz="1200" b="1" i="0">
                  <a:latin typeface="Cambria Math"/>
                  <a:ea typeface="Cambria Math"/>
                </a:rPr>
                <a:t>𝟐 (𝒛)</a:t>
              </a:r>
              <a:endParaRPr lang="fr-FR" sz="1200" b="1" i="1"/>
            </a:p>
          </xdr:txBody>
        </xdr:sp>
      </mc:Fallback>
    </mc:AlternateContent>
    <xdr:clientData/>
  </xdr:oneCellAnchor>
  <xdr:oneCellAnchor>
    <xdr:from>
      <xdr:col>11</xdr:col>
      <xdr:colOff>104775</xdr:colOff>
      <xdr:row>13</xdr:row>
      <xdr:rowOff>171450</xdr:rowOff>
    </xdr:from>
    <xdr:ext cx="1479177" cy="6140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ZoneTexte 9">
              <a:extLst>
                <a:ext uri="{FF2B5EF4-FFF2-40B4-BE49-F238E27FC236}">
                  <a16:creationId xmlns:a16="http://schemas.microsoft.com/office/drawing/2014/main" id="{67B266BA-379A-4E3D-B265-74CE70A344E8}"/>
                </a:ext>
              </a:extLst>
            </xdr:cNvPr>
            <xdr:cNvSpPr txBox="1"/>
          </xdr:nvSpPr>
          <xdr:spPr>
            <a:xfrm>
              <a:off x="8951595" y="1948815"/>
              <a:ext cx="1479177" cy="61407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400" b="1" i="1">
                            <a:latin typeface="Cambria Math"/>
                          </a:rPr>
                          <m:t>𝑷</m:t>
                        </m:r>
                      </m:e>
                      <m:sub>
                        <m:r>
                          <a:rPr lang="fr-FR" sz="1400" b="1" i="1">
                            <a:latin typeface="Cambria Math"/>
                          </a:rPr>
                          <m:t>𝒘</m:t>
                        </m:r>
                      </m:sub>
                    </m:sSub>
                    <m:r>
                      <a:rPr lang="fr-FR" sz="1400" b="1" i="1">
                        <a:latin typeface="Cambria Math"/>
                      </a:rPr>
                      <m:t>= </m:t>
                    </m:r>
                    <m:nary>
                      <m:naryPr>
                        <m:chr m:val="∑"/>
                        <m:subHide m:val="on"/>
                        <m:supHide m:val="on"/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naryPr>
                      <m:sub/>
                      <m:sup/>
                      <m:e>
                        <m:sSub>
                          <m:sSubPr>
                            <m:ctrlPr>
                              <a:rPr lang="fr-FR" sz="14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fr-FR" sz="1400" b="1" i="1">
                                <a:latin typeface="Cambria Math"/>
                              </a:rPr>
                              <m:t>𝒘</m:t>
                            </m:r>
                          </m:e>
                          <m:sub>
                            <m:r>
                              <a:rPr lang="fr-FR" sz="1400" b="1" i="1">
                                <a:latin typeface="Cambria Math"/>
                              </a:rPr>
                              <m:t>𝒆</m:t>
                            </m:r>
                          </m:sub>
                        </m:sSub>
                      </m:e>
                    </m:nary>
                    <m:r>
                      <a:rPr lang="fr-FR" sz="1400" b="1" i="1">
                        <a:latin typeface="Cambria Math"/>
                      </a:rPr>
                      <m:t>,</m:t>
                    </m:r>
                    <m:sSub>
                      <m:sSubPr>
                        <m:ctrlPr>
                          <a:rPr lang="fr-FR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400" b="1" i="1">
                            <a:latin typeface="Cambria Math"/>
                          </a:rPr>
                          <m:t>𝒘</m:t>
                        </m:r>
                      </m:e>
                      <m:sub>
                        <m:r>
                          <a:rPr lang="fr-FR" sz="1400" b="1" i="1">
                            <a:latin typeface="Cambria Math"/>
                          </a:rPr>
                          <m:t>𝒊</m:t>
                        </m:r>
                      </m:sub>
                    </m:sSub>
                  </m:oMath>
                </m:oMathPara>
              </a14:m>
              <a:endParaRPr lang="fr-FR" sz="1400" b="1"/>
            </a:p>
          </xdr:txBody>
        </xdr:sp>
      </mc:Choice>
      <mc:Fallback xmlns="">
        <xdr:sp macro="" textlink="">
          <xdr:nvSpPr>
            <xdr:cNvPr id="10" name="ZoneTexte 9">
              <a:extLst>
                <a:ext uri="{FF2B5EF4-FFF2-40B4-BE49-F238E27FC236}">
                  <a16:creationId xmlns:a16="http://schemas.microsoft.com/office/drawing/2014/main" id="{67B266BA-379A-4E3D-B265-74CE70A344E8}"/>
                </a:ext>
              </a:extLst>
            </xdr:cNvPr>
            <xdr:cNvSpPr txBox="1"/>
          </xdr:nvSpPr>
          <xdr:spPr>
            <a:xfrm>
              <a:off x="8951595" y="1948815"/>
              <a:ext cx="1479177" cy="61407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fr-FR" sz="1400" b="1" i="0">
                  <a:latin typeface="Cambria Math"/>
                </a:rPr>
                <a:t>𝑷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𝒘= </a:t>
              </a:r>
              <a:r>
                <a:rPr lang="fr-FR" sz="1400" b="1" i="0">
                  <a:latin typeface="Cambria Math" panose="02040503050406030204" pitchFamily="18" charset="0"/>
                </a:rPr>
                <a:t>∑▒</a:t>
              </a:r>
              <a:r>
                <a:rPr lang="fr-FR" sz="1400" b="1" i="0">
                  <a:latin typeface="Cambria Math"/>
                </a:rPr>
                <a:t>𝒘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𝒆</a:t>
              </a:r>
              <a:r>
                <a:rPr lang="fr-FR" sz="1400" b="1" i="0">
                  <a:latin typeface="Cambria Math" panose="02040503050406030204" pitchFamily="18" charset="0"/>
                </a:rPr>
                <a:t> </a:t>
              </a:r>
              <a:r>
                <a:rPr lang="fr-FR" sz="1400" b="1" i="0">
                  <a:latin typeface="Cambria Math"/>
                </a:rPr>
                <a:t>,𝒘</a:t>
              </a:r>
              <a:r>
                <a:rPr lang="fr-FR" sz="1400" b="1" i="0">
                  <a:latin typeface="Cambria Math" panose="02040503050406030204" pitchFamily="18" charset="0"/>
                </a:rPr>
                <a:t>_</a:t>
              </a:r>
              <a:r>
                <a:rPr lang="fr-FR" sz="1400" b="1" i="0">
                  <a:latin typeface="Cambria Math"/>
                </a:rPr>
                <a:t>𝒊</a:t>
              </a:r>
              <a:endParaRPr lang="fr-FR" sz="1400" b="1"/>
            </a:p>
          </xdr:txBody>
        </xdr:sp>
      </mc:Fallback>
    </mc:AlternateContent>
    <xdr:clientData/>
  </xdr:oneCellAnchor>
  <xdr:oneCellAnchor>
    <xdr:from>
      <xdr:col>13</xdr:col>
      <xdr:colOff>359229</xdr:colOff>
      <xdr:row>14</xdr:row>
      <xdr:rowOff>32657</xdr:rowOff>
    </xdr:from>
    <xdr:ext cx="1389531" cy="5042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ZoneTexte 10">
              <a:extLst>
                <a:ext uri="{FF2B5EF4-FFF2-40B4-BE49-F238E27FC236}">
                  <a16:creationId xmlns:a16="http://schemas.microsoft.com/office/drawing/2014/main" id="{1B0D1CE7-5BB4-4DAD-93D7-E3D2106091CC}"/>
                </a:ext>
              </a:extLst>
            </xdr:cNvPr>
            <xdr:cNvSpPr txBox="1"/>
          </xdr:nvSpPr>
          <xdr:spPr>
            <a:xfrm>
              <a:off x="10773864" y="1992902"/>
              <a:ext cx="1389531" cy="504264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𝒘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𝒆</m:t>
                        </m:r>
                      </m:sub>
                    </m:sSub>
                    <m:r>
                      <a:rPr lang="fr-FR" sz="1200" b="1" i="1">
                        <a:latin typeface="Cambria Math"/>
                      </a:rPr>
                      <m:t>=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𝒒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𝒑</m:t>
                        </m:r>
                        <m:r>
                          <a:rPr lang="fr-FR" sz="1200" b="1" i="1">
                            <a:latin typeface="Cambria Math"/>
                          </a:rPr>
                          <m:t> 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∗ 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latin typeface="Cambria Math"/>
                          </a:rPr>
                          <m:t>𝒑𝒆</m:t>
                        </m:r>
                      </m:sub>
                    </m:sSub>
                  </m:oMath>
                </m:oMathPara>
              </a14:m>
              <a:endParaRPr lang="fr-FR" sz="1200" b="1"/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𝒘</m:t>
                        </m:r>
                      </m:e>
                      <m:sub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𝒊</m:t>
                        </m:r>
                      </m:sub>
                    </m:sSub>
                    <m:r>
                      <a:rPr lang="fr-FR" sz="1200" b="1" i="1">
                        <a:solidFill>
                          <a:schemeClr val="tx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𝒒</m:t>
                        </m:r>
                      </m:e>
                      <m:sub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𝒑</m:t>
                        </m:r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 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solidFill>
                          <a:schemeClr val="tx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∗ </m:t>
                    </m:r>
                    <m:sSub>
                      <m:sSubPr>
                        <m:ctrlP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𝒄</m:t>
                        </m:r>
                      </m:e>
                      <m:sub>
                        <m:r>
                          <a:rPr lang="fr-FR" sz="1200" b="1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𝒑𝒊</m:t>
                        </m:r>
                      </m:sub>
                    </m:sSub>
                  </m:oMath>
                </m:oMathPara>
              </a14:m>
              <a:endParaRPr lang="fr-FR" sz="1200" b="1"/>
            </a:p>
          </xdr:txBody>
        </xdr:sp>
      </mc:Choice>
      <mc:Fallback xmlns="">
        <xdr:sp macro="" textlink="">
          <xdr:nvSpPr>
            <xdr:cNvPr id="11" name="ZoneTexte 10">
              <a:extLst>
                <a:ext uri="{FF2B5EF4-FFF2-40B4-BE49-F238E27FC236}">
                  <a16:creationId xmlns:a16="http://schemas.microsoft.com/office/drawing/2014/main" id="{1B0D1CE7-5BB4-4DAD-93D7-E3D2106091CC}"/>
                </a:ext>
              </a:extLst>
            </xdr:cNvPr>
            <xdr:cNvSpPr txBox="1"/>
          </xdr:nvSpPr>
          <xdr:spPr>
            <a:xfrm>
              <a:off x="10773864" y="1992902"/>
              <a:ext cx="1389531" cy="504264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fr-FR" sz="1200" b="1" i="0">
                  <a:latin typeface="Cambria Math"/>
                </a:rPr>
                <a:t>𝒘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𝒆=𝒒</a:t>
              </a:r>
              <a:r>
                <a:rPr lang="fr-FR" sz="1200" b="1" i="0">
                  <a:latin typeface="Cambria Math" panose="02040503050406030204" pitchFamily="18" charset="0"/>
                </a:rPr>
                <a:t>_(</a:t>
              </a:r>
              <a:r>
                <a:rPr lang="fr-FR" sz="1200" b="1" i="0">
                  <a:latin typeface="Cambria Math"/>
                </a:rPr>
                <a:t>𝒑 </a:t>
              </a:r>
              <a:r>
                <a:rPr lang="fr-FR" sz="1200" b="1" i="0">
                  <a:latin typeface="Cambria Math" panose="02040503050406030204" pitchFamily="18" charset="0"/>
                </a:rPr>
                <a:t>)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∗ 𝒄</a:t>
              </a:r>
              <a:r>
                <a:rPr lang="fr-FR" sz="1200" b="1" i="0">
                  <a:latin typeface="Cambria Math" panose="02040503050406030204" pitchFamily="18" charset="0"/>
                </a:rPr>
                <a:t>_</a:t>
              </a:r>
              <a:r>
                <a:rPr lang="fr-FR" sz="1200" b="1" i="0">
                  <a:latin typeface="Cambria Math"/>
                </a:rPr>
                <a:t>𝒑𝒆</a:t>
              </a:r>
              <a:endParaRPr lang="fr-FR" sz="1200" b="1"/>
            </a:p>
            <a:p>
              <a:pPr/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𝒘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𝒊=𝒒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_(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𝒑 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 (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𝒛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 𝒄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200" b="1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𝒑𝒊</a:t>
              </a:r>
              <a:endParaRPr lang="fr-FR" sz="1200" b="1"/>
            </a:p>
          </xdr:txBody>
        </xdr:sp>
      </mc:Fallback>
    </mc:AlternateContent>
    <xdr:clientData/>
  </xdr:oneCellAnchor>
  <xdr:oneCellAnchor>
    <xdr:from>
      <xdr:col>15</xdr:col>
      <xdr:colOff>398935</xdr:colOff>
      <xdr:row>14</xdr:row>
      <xdr:rowOff>151193</xdr:rowOff>
    </xdr:from>
    <xdr:ext cx="2812677" cy="32124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ZoneTexte 5">
              <a:extLst>
                <a:ext uri="{FF2B5EF4-FFF2-40B4-BE49-F238E27FC236}">
                  <a16:creationId xmlns:a16="http://schemas.microsoft.com/office/drawing/2014/main" id="{F1FD461E-142D-4E52-990B-5F3E7D81A0C2}"/>
                </a:ext>
              </a:extLst>
            </xdr:cNvPr>
            <xdr:cNvSpPr txBox="1"/>
          </xdr:nvSpPr>
          <xdr:spPr>
            <a:xfrm>
              <a:off x="12816283" y="3148083"/>
              <a:ext cx="2812677" cy="32124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 panose="02040503050406030204" pitchFamily="18" charset="0"/>
                          </a:rPr>
                          <m:t>𝑪</m:t>
                        </m:r>
                      </m:e>
                      <m:sub>
                        <m:r>
                          <a:rPr lang="fr-FR" sz="1200" b="1" i="1">
                            <a:latin typeface="Cambria Math" panose="02040503050406030204" pitchFamily="18" charset="0"/>
                          </a:rPr>
                          <m:t>𝒆</m:t>
                        </m:r>
                      </m:sub>
                    </m:sSub>
                    <m:d>
                      <m:d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200" b="1" i="1">
                            <a:latin typeface="Cambria Math"/>
                          </a:rPr>
                          <m:t>𝒛</m:t>
                        </m:r>
                      </m:e>
                    </m:d>
                    <m:r>
                      <a:rPr lang="fr-FR" sz="1200" b="1" i="1">
                        <a:latin typeface="Cambria Math"/>
                      </a:rPr>
                      <m:t>=</m:t>
                    </m:r>
                    <m:d>
                      <m:dPr>
                        <m:begChr m:val="["/>
                        <m:endChr m:val="]"/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𝟏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𝟕</m:t>
                        </m:r>
                        <m:r>
                          <a:rPr lang="fr-FR" sz="11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∗</m:t>
                        </m:r>
                        <m:sSub>
                          <m:sSub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𝑰</m:t>
                            </m:r>
                          </m:e>
                          <m:sub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𝑽</m:t>
                            </m:r>
                          </m:sub>
                        </m:sSub>
                        <m:d>
                          <m:dPr>
                            <m:ctrlP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fr-FR" sz="11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𝒛</m:t>
                            </m:r>
                          </m:e>
                        </m:d>
                      </m:e>
                    </m:d>
                    <m:r>
                      <a:rPr lang="fr-FR" sz="1200" b="1" i="1">
                        <a:latin typeface="Cambria Math"/>
                      </a:rPr>
                      <m:t>∗</m:t>
                    </m:r>
                    <m:sSub>
                      <m:sSubPr>
                        <m:ctrlPr>
                          <a:rPr lang="fr-FR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200" b="1" i="1">
                            <a:latin typeface="Cambria Math" panose="02040503050406030204" pitchFamily="18" charset="0"/>
                          </a:rPr>
                          <m:t>𝑪</m:t>
                        </m:r>
                      </m:e>
                      <m:sub>
                        <m:r>
                          <a:rPr lang="fr-FR" sz="12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fr-FR" sz="1200" b="1" i="1">
                        <a:latin typeface="Cambria Math"/>
                        <a:ea typeface="Cambria Math"/>
                      </a:rPr>
                      <m:t>(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𝒛</m:t>
                    </m:r>
                    <m:r>
                      <a:rPr lang="fr-FR" sz="1200" b="1" i="1">
                        <a:latin typeface="Cambria Math"/>
                        <a:ea typeface="Cambria Math"/>
                      </a:rPr>
                      <m:t>)²</m:t>
                    </m:r>
                  </m:oMath>
                </m:oMathPara>
              </a14:m>
              <a:endParaRPr lang="fr-FR" sz="1200" b="1" i="1"/>
            </a:p>
          </xdr:txBody>
        </xdr:sp>
      </mc:Choice>
      <mc:Fallback xmlns="">
        <xdr:sp macro="" textlink="">
          <xdr:nvSpPr>
            <xdr:cNvPr id="6" name="ZoneTexte 5">
              <a:extLst>
                <a:ext uri="{FF2B5EF4-FFF2-40B4-BE49-F238E27FC236}">
                  <a16:creationId xmlns:a16="http://schemas.microsoft.com/office/drawing/2014/main" id="{F1FD461E-142D-4E52-990B-5F3E7D81A0C2}"/>
                </a:ext>
              </a:extLst>
            </xdr:cNvPr>
            <xdr:cNvSpPr txBox="1"/>
          </xdr:nvSpPr>
          <xdr:spPr>
            <a:xfrm>
              <a:off x="12816283" y="3148083"/>
              <a:ext cx="2812677" cy="32124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fr-FR" sz="1200" b="1" i="0">
                  <a:latin typeface="Cambria Math" panose="02040503050406030204" pitchFamily="18" charset="0"/>
                </a:rPr>
                <a:t>𝑪_𝒆 (</a:t>
              </a:r>
              <a:r>
                <a:rPr lang="fr-FR" sz="1200" b="1" i="0">
                  <a:latin typeface="Cambria Math"/>
                </a:rPr>
                <a:t>𝒛</a:t>
              </a:r>
              <a:r>
                <a:rPr lang="fr-FR" sz="1200" b="1" i="0">
                  <a:latin typeface="Cambria Math" panose="02040503050406030204" pitchFamily="18" charset="0"/>
                </a:rPr>
                <a:t>)</a:t>
              </a:r>
              <a:r>
                <a:rPr lang="fr-FR" sz="1200" b="1" i="0">
                  <a:latin typeface="Cambria Math"/>
                </a:rPr>
                <a:t>=</a:t>
              </a:r>
              <a:r>
                <a:rPr lang="fr-FR" sz="1200" b="1" i="0">
                  <a:latin typeface="Cambria Math" panose="02040503050406030204" pitchFamily="18" charset="0"/>
                </a:rPr>
                <a:t>[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𝟏+𝟕∗𝑰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𝑽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(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𝒛</a:t>
              </a:r>
              <a:r>
                <a:rPr lang="fr-FR" sz="1100" b="1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)]</a:t>
              </a:r>
              <a:r>
                <a:rPr lang="fr-FR" sz="1200" b="1" i="0">
                  <a:latin typeface="Cambria Math"/>
                </a:rPr>
                <a:t>∗</a:t>
              </a:r>
              <a:r>
                <a:rPr lang="fr-FR" sz="1200" b="1" i="0">
                  <a:latin typeface="Cambria Math" panose="02040503050406030204" pitchFamily="18" charset="0"/>
                </a:rPr>
                <a:t>𝑪_𝒓</a:t>
              </a:r>
              <a:r>
                <a:rPr lang="fr-FR" sz="1200" b="1" i="0">
                  <a:latin typeface="Cambria Math"/>
                  <a:ea typeface="Cambria Math"/>
                </a:rPr>
                <a:t> (𝒛)</a:t>
              </a:r>
              <a:r>
                <a:rPr lang="fr-FR" sz="1200" b="1" i="0">
                  <a:latin typeface="Cambria Math" panose="02040503050406030204" pitchFamily="18" charset="0"/>
                  <a:ea typeface="Cambria Math"/>
                </a:rPr>
                <a:t>²</a:t>
              </a:r>
              <a:endParaRPr lang="fr-FR" sz="1200" b="1" i="1"/>
            </a:p>
          </xdr:txBody>
        </xdr:sp>
      </mc:Fallback>
    </mc:AlternateContent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140970</xdr:colOff>
      <xdr:row>15</xdr:row>
      <xdr:rowOff>53340</xdr:rowOff>
    </xdr:from>
    <xdr:ext cx="1651635" cy="4346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2">
              <a:extLst>
                <a:ext uri="{FF2B5EF4-FFF2-40B4-BE49-F238E27FC236}">
                  <a16:creationId xmlns:a16="http://schemas.microsoft.com/office/drawing/2014/main" id="{E8DD3841-F03C-4EBB-A1B7-DFA3CBB2694A}"/>
                </a:ext>
              </a:extLst>
            </xdr:cNvPr>
            <xdr:cNvSpPr txBox="1"/>
          </xdr:nvSpPr>
          <xdr:spPr>
            <a:xfrm>
              <a:off x="2512695" y="2910840"/>
              <a:ext cx="1651635" cy="434602"/>
            </a:xfrm>
            <a:prstGeom prst="rect">
              <a:avLst/>
            </a:prstGeom>
            <a:solidFill>
              <a:schemeClr val="bg1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fr-FR" sz="1100" b="0" i="1">
                        <a:latin typeface="Cambria Math" panose="02040503050406030204" pitchFamily="18" charset="0"/>
                      </a:rPr>
                      <m:t>𝑠</m:t>
                    </m:r>
                    <m:r>
                      <a:rPr lang="fr-FR" sz="11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fr-F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𝜇</m:t>
                        </m:r>
                      </m:e>
                      <m:sub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  <m:r>
                      <a:rPr lang="fr-FR" sz="11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𝐶</m:t>
                        </m:r>
                      </m:e>
                      <m:sub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𝑒</m:t>
                        </m:r>
                      </m:sub>
                    </m:sSub>
                    <m:r>
                      <a:rPr lang="fr-FR" sz="11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𝐶</m:t>
                        </m:r>
                      </m:e>
                      <m:sub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fr-FR" sz="1100" b="0" i="1">
                        <a:latin typeface="Cambria Math" panose="02040503050406030204" pitchFamily="18" charset="0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</m:oMath>
                </m:oMathPara>
              </a14:m>
              <a:endParaRPr lang="fr-FR" sz="1100"/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</m:t>
                        </m:r>
                      </m:sub>
                    </m:sSub>
                    <m:r>
                      <a:rPr lang="fr-F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𝜇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𝑖</m:t>
                        </m:r>
                      </m:sub>
                    </m:sSub>
                    <m:r>
                      <a:rPr lang="fr-F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𝑒</m:t>
                        </m:r>
                      </m:sub>
                    </m:sSub>
                    <m:r>
                      <a:rPr lang="fr-F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sub>
                    </m:sSub>
                    <m:r>
                      <a:rPr lang="fr-F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𝐴𝑑</m:t>
                        </m:r>
                      </m:sub>
                    </m:sSub>
                  </m:oMath>
                </m:oMathPara>
              </a14:m>
              <a:endParaRPr lang="fr-FR">
                <a:effectLst/>
              </a:endParaRPr>
            </a:p>
          </xdr:txBody>
        </xdr:sp>
      </mc:Choice>
      <mc:Fallback xmlns="">
        <xdr:sp macro="" textlink="">
          <xdr:nvSpPr>
            <xdr:cNvPr id="2" name="TextBox 2">
              <a:extLst>
                <a:ext uri="{FF2B5EF4-FFF2-40B4-BE49-F238E27FC236}">
                  <a16:creationId xmlns:a16="http://schemas.microsoft.com/office/drawing/2014/main" id="{E8DD3841-F03C-4EBB-A1B7-DFA3CBB2694A}"/>
                </a:ext>
              </a:extLst>
            </xdr:cNvPr>
            <xdr:cNvSpPr txBox="1"/>
          </xdr:nvSpPr>
          <xdr:spPr>
            <a:xfrm>
              <a:off x="2512695" y="2910840"/>
              <a:ext cx="1651635" cy="434602"/>
            </a:xfrm>
            <a:prstGeom prst="rect">
              <a:avLst/>
            </a:prstGeom>
            <a:solidFill>
              <a:schemeClr val="bg1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fr-FR" sz="1100" b="0" i="0">
                  <a:latin typeface="Cambria Math" panose="02040503050406030204" pitchFamily="18" charset="0"/>
                </a:rPr>
                <a:t>𝑠=</a:t>
              </a:r>
              <a:r>
                <a:rPr lang="fr-F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𝜇_</a:t>
              </a:r>
              <a:r>
                <a:rPr lang="fr-FR" sz="1100" b="0" i="0">
                  <a:latin typeface="Cambria Math" panose="02040503050406030204" pitchFamily="18" charset="0"/>
                </a:rPr>
                <a:t>𝑖∗𝐶_𝑒∗𝐶_𝑡∗𝑠_𝑘</a:t>
              </a:r>
              <a:endParaRPr lang="fr-FR" sz="1100"/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fr-F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𝑠_𝐴=𝜇_𝑖∗𝐶_𝑒∗𝐶_𝑡∗𝑠_𝐴𝑑</a:t>
              </a:r>
              <a:endParaRPr lang="fr-FR">
                <a:effectLst/>
              </a:endParaRPr>
            </a:p>
          </xdr:txBody>
        </xdr:sp>
      </mc:Fallback>
    </mc:AlternateContent>
    <xdr:clientData/>
  </xdr:oneCellAnchor>
  <xdr:oneCellAnchor>
    <xdr:from>
      <xdr:col>7</xdr:col>
      <xdr:colOff>0</xdr:colOff>
      <xdr:row>5</xdr:row>
      <xdr:rowOff>0</xdr:rowOff>
    </xdr:from>
    <xdr:ext cx="1099712" cy="23543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6">
              <a:extLst>
                <a:ext uri="{FF2B5EF4-FFF2-40B4-BE49-F238E27FC236}">
                  <a16:creationId xmlns:a16="http://schemas.microsoft.com/office/drawing/2014/main" id="{79ABA7D9-F17F-441E-A584-35459DFB7DDD}"/>
                </a:ext>
              </a:extLst>
            </xdr:cNvPr>
            <xdr:cNvSpPr txBox="1"/>
          </xdr:nvSpPr>
          <xdr:spPr>
            <a:xfrm>
              <a:off x="5534025" y="990600"/>
              <a:ext cx="1099712" cy="235432"/>
            </a:xfrm>
            <a:prstGeom prst="rect">
              <a:avLst/>
            </a:prstGeom>
            <a:solidFill>
              <a:schemeClr val="bg1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𝑘</m:t>
                        </m:r>
                      </m:sub>
                    </m:sSub>
                    <m:r>
                      <a:rPr lang="fr-FR" sz="11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𝑘</m:t>
                        </m:r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,0</m:t>
                        </m:r>
                      </m:sub>
                    </m:sSub>
                    <m:r>
                      <a:rPr lang="fr-FR" sz="1100" b="0" i="1">
                        <a:latin typeface="Cambria Math" panose="02040503050406030204" pitchFamily="18" charset="0"/>
                      </a:rPr>
                      <m:t>∗</m:t>
                    </m:r>
                    <m:r>
                      <a:rPr lang="fr-F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∆</m:t>
                    </m:r>
                    <m:sSub>
                      <m:sSubPr>
                        <m:ctrlPr>
                          <a:rPr lang="fr-F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fr-F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𝑠</m:t>
                        </m:r>
                      </m:e>
                      <m:sub>
                        <m:r>
                          <a:rPr lang="fr-FR" sz="1100" b="0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</m:oMath>
                </m:oMathPara>
              </a14:m>
              <a:endParaRPr lang="fr-FR" sz="1100"/>
            </a:p>
          </xdr:txBody>
        </xdr:sp>
      </mc:Choice>
      <mc:Fallback xmlns="">
        <xdr:sp macro="" textlink="">
          <xdr:nvSpPr>
            <xdr:cNvPr id="3" name="TextBox 6">
              <a:extLst>
                <a:ext uri="{FF2B5EF4-FFF2-40B4-BE49-F238E27FC236}">
                  <a16:creationId xmlns:a16="http://schemas.microsoft.com/office/drawing/2014/main" id="{79ABA7D9-F17F-441E-A584-35459DFB7DDD}"/>
                </a:ext>
              </a:extLst>
            </xdr:cNvPr>
            <xdr:cNvSpPr txBox="1"/>
          </xdr:nvSpPr>
          <xdr:spPr>
            <a:xfrm>
              <a:off x="5534025" y="990600"/>
              <a:ext cx="1099712" cy="235432"/>
            </a:xfrm>
            <a:prstGeom prst="rect">
              <a:avLst/>
            </a:prstGeom>
            <a:solidFill>
              <a:schemeClr val="bg1"/>
            </a:solidFill>
            <a:ln>
              <a:solidFill>
                <a:sysClr val="windowText" lastClr="00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fr-F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𝑠_𝑘</a:t>
              </a:r>
              <a:r>
                <a:rPr lang="fr-FR" sz="1100" b="0" i="0">
                  <a:latin typeface="Cambria Math" panose="02040503050406030204" pitchFamily="18" charset="0"/>
                </a:rPr>
                <a:t>=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𝑠_(𝑘,0)</a:t>
              </a:r>
              <a:r>
                <a:rPr lang="fr-FR" sz="1100" b="0" i="0">
                  <a:latin typeface="Cambria Math" panose="02040503050406030204" pitchFamily="18" charset="0"/>
                </a:rPr>
                <a:t>∗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</a:t>
              </a:r>
              <a:r>
                <a:rPr lang="fr-F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𝑠_</a:t>
              </a:r>
              <a:r>
                <a:rPr lang="fr-FR" sz="1100" b="0" i="0">
                  <a:latin typeface="Cambria Math" panose="02040503050406030204" pitchFamily="18" charset="0"/>
                </a:rPr>
                <a:t>𝑖</a:t>
              </a:r>
              <a:endParaRPr lang="fr-FR" sz="1100"/>
            </a:p>
          </xdr:txBody>
        </xdr:sp>
      </mc:Fallback>
    </mc:AlternateContent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2">
  <rv s="0">
    <v>0</v>
    <v>5</v>
  </rv>
  <rv s="0">
    <v>1</v>
    <v>4</v>
  </rv>
  <rv s="0">
    <v>2</v>
    <v>5</v>
  </rv>
  <rv s="0">
    <v>3</v>
    <v>4</v>
  </rv>
  <rv s="0">
    <v>4</v>
    <v>5</v>
  </rv>
  <rv s="0">
    <v>3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</richValueRels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vmlDrawing" Target="../drawings/vmlDrawing5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740A8-4A32-4AA5-BA6B-0B9D097A492A}">
  <sheetPr codeName="Feuil1"/>
  <dimension ref="B1:T75"/>
  <sheetViews>
    <sheetView showGridLines="0" showRowColHeaders="0" tabSelected="1" zoomScale="115" zoomScaleNormal="115" workbookViewId="0">
      <selection activeCell="D4" sqref="D4"/>
    </sheetView>
  </sheetViews>
  <sheetFormatPr baseColWidth="10" defaultColWidth="11.5546875" defaultRowHeight="14.4" x14ac:dyDescent="0.3"/>
  <cols>
    <col min="1" max="1" width="0.6640625" customWidth="1"/>
    <col min="2" max="2" width="3.109375" customWidth="1"/>
    <col min="3" max="3" width="17.5546875" bestFit="1" customWidth="1"/>
    <col min="4" max="4" width="14.6640625" customWidth="1"/>
    <col min="5" max="5" width="16.109375" customWidth="1"/>
    <col min="6" max="6" width="15.44140625" customWidth="1"/>
    <col min="7" max="7" width="12.33203125" customWidth="1"/>
    <col min="8" max="8" width="10.44140625" bestFit="1" customWidth="1"/>
    <col min="10" max="10" width="8.33203125" customWidth="1"/>
    <col min="11" max="11" width="2.6640625" customWidth="1"/>
    <col min="12" max="12" width="33.33203125" customWidth="1"/>
    <col min="13" max="13" width="2.6640625" customWidth="1"/>
    <col min="14" max="14" width="8.33203125" customWidth="1"/>
    <col min="16" max="16" width="8.33203125" customWidth="1"/>
    <col min="17" max="17" width="2.6640625" customWidth="1"/>
    <col min="18" max="18" width="33.33203125" customWidth="1"/>
    <col min="19" max="19" width="2.6640625" customWidth="1"/>
    <col min="20" max="20" width="8.33203125" customWidth="1"/>
  </cols>
  <sheetData>
    <row r="1" spans="2:14" ht="28.95" customHeight="1" x14ac:dyDescent="0.5">
      <c r="C1" t="e" vm="1">
        <v>#VALUE!</v>
      </c>
      <c r="D1" s="736" t="s">
        <v>72</v>
      </c>
      <c r="E1" s="736"/>
      <c r="G1" s="735" t="s">
        <v>467</v>
      </c>
      <c r="H1" s="735"/>
    </row>
    <row r="2" spans="2:14" x14ac:dyDescent="0.3">
      <c r="G2" s="735" t="s">
        <v>468</v>
      </c>
      <c r="H2" s="735"/>
    </row>
    <row r="3" spans="2:14" x14ac:dyDescent="0.3">
      <c r="D3" s="92"/>
      <c r="E3" s="92"/>
      <c r="G3" s="540"/>
      <c r="H3" s="540"/>
      <c r="I3" s="539"/>
      <c r="J3" s="539"/>
      <c r="K3" s="539"/>
      <c r="L3" s="427"/>
    </row>
    <row r="4" spans="2:14" ht="17.399999999999999" x14ac:dyDescent="0.3">
      <c r="C4" s="574" t="s">
        <v>421</v>
      </c>
      <c r="D4" s="573"/>
      <c r="E4" s="573"/>
    </row>
    <row r="5" spans="2:14" x14ac:dyDescent="0.3">
      <c r="E5" s="92"/>
      <c r="G5" s="739" t="s">
        <v>381</v>
      </c>
      <c r="H5" s="739"/>
      <c r="I5" s="738" t="s">
        <v>382</v>
      </c>
      <c r="J5" s="738"/>
      <c r="K5" s="738"/>
      <c r="L5" s="427" t="s">
        <v>317</v>
      </c>
    </row>
    <row r="6" spans="2:14" ht="18" thickBot="1" x14ac:dyDescent="0.4">
      <c r="C6" s="408" t="s">
        <v>150</v>
      </c>
    </row>
    <row r="7" spans="2:14" ht="15" thickTop="1" x14ac:dyDescent="0.3">
      <c r="C7" s="23" t="s">
        <v>406</v>
      </c>
      <c r="D7" s="573"/>
      <c r="E7" s="148"/>
    </row>
    <row r="8" spans="2:14" x14ac:dyDescent="0.3">
      <c r="C8" s="23" t="s">
        <v>108</v>
      </c>
      <c r="D8" s="148"/>
      <c r="E8" s="493"/>
    </row>
    <row r="9" spans="2:14" x14ac:dyDescent="0.3">
      <c r="D9" s="148"/>
      <c r="E9" s="493"/>
    </row>
    <row r="10" spans="2:14" x14ac:dyDescent="0.3">
      <c r="E10" s="92"/>
    </row>
    <row r="11" spans="2:14" ht="15.6" x14ac:dyDescent="0.3">
      <c r="C11" s="740" t="s">
        <v>315</v>
      </c>
      <c r="D11" s="740"/>
      <c r="E11" s="741" t="s">
        <v>316</v>
      </c>
      <c r="F11" s="741"/>
      <c r="G11" s="426"/>
    </row>
    <row r="12" spans="2:14" x14ac:dyDescent="0.3">
      <c r="C12" s="23" t="s">
        <v>151</v>
      </c>
      <c r="D12" s="591">
        <v>3</v>
      </c>
      <c r="E12" s="23" t="s">
        <v>152</v>
      </c>
      <c r="F12" s="591" t="s">
        <v>273</v>
      </c>
    </row>
    <row r="13" spans="2:14" x14ac:dyDescent="0.3">
      <c r="C13" s="23" t="s">
        <v>225</v>
      </c>
      <c r="D13" s="591" t="s">
        <v>209</v>
      </c>
      <c r="E13" s="23" t="s">
        <v>162</v>
      </c>
      <c r="F13" s="592">
        <v>145</v>
      </c>
    </row>
    <row r="14" spans="2:14" x14ac:dyDescent="0.3">
      <c r="E14" s="92"/>
      <c r="L14" s="344"/>
    </row>
    <row r="15" spans="2:14" ht="18" thickBot="1" x14ac:dyDescent="0.4">
      <c r="C15" s="408" t="s">
        <v>71</v>
      </c>
      <c r="E15" s="743" t="e" cm="1" vm="2">
        <f t="array" ref="E15">Im_system</f>
        <v>#VALUE!</v>
      </c>
      <c r="F15" s="743"/>
    </row>
    <row r="16" spans="2:14" ht="15" thickTop="1" x14ac:dyDescent="0.3">
      <c r="B16" s="56"/>
      <c r="C16" s="23" t="s">
        <v>238</v>
      </c>
      <c r="D16" s="576" t="s">
        <v>166</v>
      </c>
      <c r="E16" s="743"/>
      <c r="F16" s="743"/>
      <c r="G16" s="418"/>
      <c r="H16" s="419"/>
      <c r="I16" s="419"/>
      <c r="J16" s="420"/>
      <c r="L16" s="410"/>
      <c r="M16" s="411"/>
      <c r="N16" s="412"/>
    </row>
    <row r="17" spans="3:14" x14ac:dyDescent="0.3">
      <c r="C17" s="23" t="s">
        <v>4</v>
      </c>
      <c r="D17" s="577" t="s">
        <v>446</v>
      </c>
      <c r="E17" s="632"/>
      <c r="F17" s="631"/>
      <c r="G17" s="421"/>
      <c r="J17" s="422"/>
      <c r="L17" s="413"/>
      <c r="N17" s="414"/>
    </row>
    <row r="18" spans="3:14" x14ac:dyDescent="0.3">
      <c r="C18" s="23" t="str">
        <f>IF(choix_couv='Config type'!$H$2,"Espace nervure :","")</f>
        <v>Espace nervure :</v>
      </c>
      <c r="D18" s="816">
        <v>333.33</v>
      </c>
      <c r="E18" s="144"/>
      <c r="F18" s="579"/>
      <c r="G18" s="421"/>
      <c r="J18" s="422"/>
      <c r="L18" s="413"/>
      <c r="N18" s="414"/>
    </row>
    <row r="19" spans="3:14" x14ac:dyDescent="0.3">
      <c r="C19" s="23" t="s">
        <v>2</v>
      </c>
      <c r="D19" s="387">
        <v>8</v>
      </c>
      <c r="E19" s="63" t="s">
        <v>28</v>
      </c>
      <c r="F19" s="63"/>
      <c r="G19" s="421"/>
      <c r="J19" s="422"/>
      <c r="L19" s="413"/>
      <c r="N19" s="414"/>
    </row>
    <row r="20" spans="3:14" x14ac:dyDescent="0.3">
      <c r="C20" s="23" t="s">
        <v>3</v>
      </c>
      <c r="D20" s="387">
        <v>17.489999999999998</v>
      </c>
      <c r="E20" s="63"/>
      <c r="F20" s="63"/>
      <c r="G20" s="421"/>
      <c r="J20" s="422"/>
      <c r="L20" s="413"/>
      <c r="N20" s="414"/>
    </row>
    <row r="21" spans="3:14" x14ac:dyDescent="0.3">
      <c r="C21" s="23" t="s">
        <v>360</v>
      </c>
      <c r="D21" s="388">
        <v>11.28</v>
      </c>
      <c r="E21" s="63" t="str">
        <f>"Largeur calculée : "&amp;TEXT(toit_larg_calc,"# ## 0,00")&amp;" m"</f>
        <v>Largeur calculée : 11,28 m</v>
      </c>
      <c r="F21" s="64"/>
      <c r="G21" s="421"/>
      <c r="J21" s="422"/>
      <c r="L21" s="413"/>
      <c r="N21" s="414"/>
    </row>
    <row r="22" spans="3:14" x14ac:dyDescent="0.3">
      <c r="C22" s="23" t="s">
        <v>140</v>
      </c>
      <c r="D22" s="132">
        <v>20</v>
      </c>
      <c r="E22" s="65" t="str">
        <f>"min: "&amp;'Config type'!B24&amp;"° ; max: "&amp;'Config type'!B25&amp;"°"</f>
        <v>min: 5° ; max: 60°</v>
      </c>
      <c r="F22" s="65"/>
      <c r="G22" s="421"/>
      <c r="J22" s="422"/>
      <c r="L22" s="413"/>
      <c r="N22" s="414"/>
    </row>
    <row r="23" spans="3:14" x14ac:dyDescent="0.3">
      <c r="C23" s="23" t="s">
        <v>359</v>
      </c>
      <c r="D23" s="387">
        <v>6</v>
      </c>
      <c r="E23" s="64" t="str">
        <f>"max : "&amp;'Config type'!B26&amp;" m"&amp;" ; Rampant calculé : "&amp;TEXT(toit_ramp_calc,"# ## 0,00")&amp;" m"</f>
        <v>max : 35 m ; Rampant calculé : 6,00 m</v>
      </c>
      <c r="F23" s="65"/>
      <c r="G23" s="421"/>
      <c r="J23" s="422"/>
      <c r="L23" s="413"/>
      <c r="N23" s="414"/>
    </row>
    <row r="24" spans="3:14" x14ac:dyDescent="0.3">
      <c r="D24" s="428" t="str">
        <f>IF(comp_charp=TRUE,"",Données!$C$34)</f>
        <v/>
      </c>
      <c r="G24" s="421"/>
      <c r="J24" s="422"/>
      <c r="L24" s="413"/>
      <c r="N24" s="414"/>
    </row>
    <row r="25" spans="3:14" x14ac:dyDescent="0.3">
      <c r="C25" s="23" t="s">
        <v>47</v>
      </c>
      <c r="D25" s="742" t="s">
        <v>392</v>
      </c>
      <c r="E25" s="742"/>
      <c r="F25" s="65"/>
      <c r="G25" s="421"/>
      <c r="J25" s="422"/>
      <c r="L25" s="413"/>
      <c r="N25" s="414"/>
    </row>
    <row r="26" spans="3:14" ht="15" thickBot="1" x14ac:dyDescent="0.35">
      <c r="C26" s="23" t="s">
        <v>537</v>
      </c>
      <c r="D26" s="576" t="s">
        <v>536</v>
      </c>
      <c r="F26" s="63"/>
      <c r="G26" s="423"/>
      <c r="H26" s="424"/>
      <c r="I26" s="424"/>
      <c r="J26" s="425"/>
      <c r="L26" s="415"/>
      <c r="M26" s="416"/>
      <c r="N26" s="417"/>
    </row>
    <row r="27" spans="3:14" x14ac:dyDescent="0.3">
      <c r="C27" s="23" t="str">
        <f>IF(OR(choix_charp=Données!$E$11,choix_charp=Données!$F$11),"Entraxe pannes :","Entraxe chevrons :")</f>
        <v>Entraxe pannes :</v>
      </c>
      <c r="D27" s="129">
        <v>600</v>
      </c>
      <c r="E27" s="63" t="str">
        <f>IF(OR(choix_charp=Données!$E$11,choix_charp=Données!$F$11),"max: "&amp;Entr_panne_max&amp;" mm","max: "&amp;entr_croch_max&amp;" mm")</f>
        <v>max: 1500 mm</v>
      </c>
    </row>
    <row r="29" spans="3:14" ht="21.6" thickBot="1" x14ac:dyDescent="0.4">
      <c r="C29" s="408" t="s">
        <v>0</v>
      </c>
      <c r="D29" s="428" t="str">
        <f>IF(Comp_croch=TRUE,"",Données!$C$32)</f>
        <v/>
      </c>
      <c r="G29" s="408" t="s">
        <v>1</v>
      </c>
      <c r="L29" s="429" t="s">
        <v>314</v>
      </c>
      <c r="N29" s="494">
        <v>1</v>
      </c>
    </row>
    <row r="30" spans="3:14" ht="15" thickTop="1" x14ac:dyDescent="0.3">
      <c r="C30" s="168" t="s">
        <v>331</v>
      </c>
      <c r="D30" s="746" t="s">
        <v>454</v>
      </c>
      <c r="E30" s="746"/>
      <c r="G30" s="23" t="s">
        <v>16</v>
      </c>
      <c r="H30" s="129">
        <v>1762</v>
      </c>
      <c r="I30" s="23" t="s">
        <v>5</v>
      </c>
      <c r="J30" s="130">
        <v>445</v>
      </c>
    </row>
    <row r="31" spans="3:14" x14ac:dyDescent="0.3">
      <c r="C31" s="140" t="s">
        <v>466</v>
      </c>
      <c r="D31" s="576" t="s">
        <v>88</v>
      </c>
      <c r="G31" s="23" t="s">
        <v>17</v>
      </c>
      <c r="H31" s="129">
        <v>1134</v>
      </c>
      <c r="I31" s="23" t="s">
        <v>244</v>
      </c>
      <c r="J31" s="686">
        <v>21.6</v>
      </c>
    </row>
    <row r="32" spans="3:14" x14ac:dyDescent="0.3">
      <c r="C32" s="140" t="s">
        <v>139</v>
      </c>
      <c r="D32" s="582">
        <v>0.38500000000000001</v>
      </c>
      <c r="G32" s="23" t="s">
        <v>29</v>
      </c>
      <c r="H32" s="129">
        <v>30</v>
      </c>
    </row>
    <row r="33" spans="2:20" x14ac:dyDescent="0.3">
      <c r="C33" s="140" t="str">
        <f>IF(AND(Long_rail='Config type'!M44,OR(Choix_croch='Config type'!B12,Choix_croch='Config type'!B13)),"Option ISY-RAIL 710 :","")</f>
        <v>Option ISY-RAIL 710 :</v>
      </c>
      <c r="D33" s="815" t="s">
        <v>495</v>
      </c>
      <c r="G33" s="581" t="s">
        <v>458</v>
      </c>
      <c r="H33" s="609"/>
      <c r="I33" s="610"/>
    </row>
    <row r="34" spans="2:20" x14ac:dyDescent="0.3">
      <c r="C34" s="140" t="s">
        <v>135</v>
      </c>
      <c r="D34" s="576" t="s">
        <v>142</v>
      </c>
      <c r="G34" s="611" t="s">
        <v>494</v>
      </c>
      <c r="H34" s="610" t="s">
        <v>492</v>
      </c>
      <c r="I34" s="610" t="s">
        <v>493</v>
      </c>
    </row>
    <row r="35" spans="2:20" x14ac:dyDescent="0.3">
      <c r="G35" s="23" t="s">
        <v>457</v>
      </c>
      <c r="H35" s="734">
        <v>2400</v>
      </c>
      <c r="I35" s="734">
        <v>1200</v>
      </c>
    </row>
    <row r="36" spans="2:20" x14ac:dyDescent="0.3">
      <c r="G36" s="23" t="s">
        <v>489</v>
      </c>
      <c r="H36" s="734">
        <v>5400</v>
      </c>
      <c r="I36" s="734">
        <v>1200</v>
      </c>
    </row>
    <row r="37" spans="2:20" ht="18" thickBot="1" x14ac:dyDescent="0.4">
      <c r="C37" s="409" t="s">
        <v>6</v>
      </c>
      <c r="D37" s="428" t="str">
        <f>IF(Comp_calep=FALSE,Données!C33,"")</f>
        <v/>
      </c>
      <c r="F37" s="66"/>
    </row>
    <row r="38" spans="2:20" ht="18.600000000000001" thickTop="1" thickBot="1" x14ac:dyDescent="0.4">
      <c r="C38" s="140" t="s">
        <v>132</v>
      </c>
      <c r="D38" s="737" t="s">
        <v>449</v>
      </c>
      <c r="E38" s="737"/>
      <c r="G38" s="408" t="s">
        <v>15</v>
      </c>
      <c r="H38" s="408"/>
    </row>
    <row r="39" spans="2:20" ht="15" thickTop="1" x14ac:dyDescent="0.3">
      <c r="C39" s="23" t="s">
        <v>133</v>
      </c>
      <c r="D39" s="131">
        <v>2</v>
      </c>
      <c r="G39" s="23" t="s">
        <v>16</v>
      </c>
      <c r="H39" s="495">
        <f>IF(Comp_calep=TRUE,IF(Haut_Champs_PV&lt;=toit_ramp*1000-dist_fait,Haut_Champs_PV,Données!C28),)</f>
        <v>3549</v>
      </c>
    </row>
    <row r="40" spans="2:20" ht="16.2" customHeight="1" x14ac:dyDescent="0.3">
      <c r="C40" s="23" t="s">
        <v>134</v>
      </c>
      <c r="D40" s="131">
        <v>6</v>
      </c>
      <c r="G40" s="23" t="s">
        <v>526</v>
      </c>
      <c r="H40" s="495">
        <f>IF(Comp_calep=TRUE,IF(Larg_Champs_PV&lt;=toit_long*1000-2*dist_rive,Larg_Champs_PV,Données!C29),)</f>
        <v>7051.5999999999995</v>
      </c>
    </row>
    <row r="41" spans="2:20" ht="15.6" customHeight="1" x14ac:dyDescent="0.3">
      <c r="G41" s="23"/>
    </row>
    <row r="43" spans="2:20" ht="15" customHeight="1" thickBot="1" x14ac:dyDescent="0.45">
      <c r="C43" s="367" t="s">
        <v>384</v>
      </c>
      <c r="D43" s="367"/>
      <c r="E43" s="367"/>
      <c r="F43" s="367"/>
    </row>
    <row r="44" spans="2:20" ht="13.2" customHeight="1" thickTop="1" x14ac:dyDescent="0.3"/>
    <row r="45" spans="2:20" ht="19.2" customHeight="1" x14ac:dyDescent="0.3">
      <c r="C45" s="2" t="s">
        <v>66</v>
      </c>
      <c r="D45" s="745" t="s">
        <v>65</v>
      </c>
      <c r="E45" s="745"/>
      <c r="F45" s="745"/>
      <c r="G45" s="141" t="s">
        <v>51</v>
      </c>
      <c r="I45" s="23"/>
      <c r="L45" s="292" t="str">
        <f>"Zones toiture "&amp; UPPER(Choix_forme)</f>
        <v>Zones toiture BIPAN</v>
      </c>
      <c r="M45" s="14"/>
      <c r="N45" s="14"/>
      <c r="P45" s="262"/>
      <c r="Q45" s="14"/>
      <c r="R45" s="14"/>
      <c r="S45" s="14"/>
      <c r="T45" s="14"/>
    </row>
    <row r="46" spans="2:20" ht="19.2" customHeight="1" x14ac:dyDescent="0.3">
      <c r="B46" s="152">
        <v>1</v>
      </c>
      <c r="C46" s="153">
        <f>IFERROR(VLOOKUP($B46,list_materiel,COLUMN(Logistique!G$2)-COLUMN(Logistique!$A$2)+1,FALSE),"")</f>
        <v>380100</v>
      </c>
      <c r="D46" s="135" t="str">
        <f>IFERROR(VLOOKUP($B46,list_materiel,COLUMN(Logistique!I$2)-COLUMN(Logistique!$A$2)+1,FALSE),"")</f>
        <v>ISY-Rail v2 - L385 + EPDM + 4 vis</v>
      </c>
      <c r="E46" s="137"/>
      <c r="F46" s="137"/>
      <c r="G46" s="153">
        <f>IFERROR(IF(OR($H$39=Données!$C$28,'Configurateur ISY-PV'!$H$40=Données!$C$29),NA(),VLOOKUP($B46,list_materiel,COLUMN(Logistique!J$2)-COLUMN(Logistique!$A$2)+1,FALSE)),"")</f>
        <v>24</v>
      </c>
      <c r="I46" s="23"/>
      <c r="M46" s="14"/>
      <c r="N46" s="262"/>
      <c r="P46" s="262"/>
      <c r="Q46" s="14"/>
      <c r="S46" s="14"/>
      <c r="T46" s="262"/>
    </row>
    <row r="47" spans="2:20" ht="19.2" customHeight="1" x14ac:dyDescent="0.3">
      <c r="B47" s="152">
        <v>2</v>
      </c>
      <c r="C47" s="125">
        <f>IFERROR(VLOOKUP($B47,list_materiel,COLUMN(Logistique!G$2)-COLUMN(Logistique!$A$2)+1,FALSE),"")</f>
        <v>300107</v>
      </c>
      <c r="D47" s="138" t="str">
        <f>IFERROR(VLOOKUP($B47,list_materiel,COLUMN(Logistique!I$2)-COLUMN(Logistique!$A$2)+1,FALSE),"")</f>
        <v>ISY-Rail v2 - L710 + EPDM + 6 vis</v>
      </c>
      <c r="E47" s="136"/>
      <c r="F47" s="136"/>
      <c r="G47" s="125">
        <f>IFERROR(IF(OR($H$39=Données!$C$28,'Configurateur ISY-PV'!$H$40=Données!$C$29),NA(),VLOOKUP($B47,list_materiel,COLUMN(Logistique!J$2)-COLUMN(Logistique!$A$2)+1,FALSE)),"")</f>
        <v>4</v>
      </c>
      <c r="H47" s="152">
        <v>1</v>
      </c>
      <c r="I47" s="48"/>
      <c r="L47" s="14"/>
      <c r="M47" s="14"/>
      <c r="N47" s="14"/>
      <c r="P47" s="14"/>
      <c r="Q47" s="14"/>
      <c r="S47" s="14"/>
      <c r="T47" s="14"/>
    </row>
    <row r="48" spans="2:20" ht="19.2" customHeight="1" x14ac:dyDescent="0.3">
      <c r="B48" s="152">
        <v>3</v>
      </c>
      <c r="C48" s="125">
        <f>IFERROR(VLOOKUP($B48,list_materiel,COLUMN(Logistique!G$2)-COLUMN(Logistique!$A$2)+1,FALSE),"")</f>
        <v>380108</v>
      </c>
      <c r="D48" s="138" t="str">
        <f>IFERROR(VLOOKUP($B48,list_materiel,COLUMN(Logistique!I$2)-COLUMN(Logistique!$A$2)+1,FALSE),"")</f>
        <v>Etriers spring exter black - ISY-PV</v>
      </c>
      <c r="E48" s="136"/>
      <c r="F48" s="136"/>
      <c r="G48" s="125">
        <f>IFERROR(IF(OR($H$39=Données!$C$28,'Configurateur ISY-PV'!$H$40=Données!$C$29),NA(),VLOOKUP($B48,list_materiel,COLUMN(Logistique!J$2)-COLUMN(Logistique!$A$2)+1,FALSE)),"")</f>
        <v>8</v>
      </c>
      <c r="H48" s="152">
        <v>2</v>
      </c>
      <c r="I48" s="48"/>
      <c r="L48" s="14"/>
      <c r="M48" s="14"/>
      <c r="N48" s="14"/>
      <c r="P48" s="14"/>
      <c r="Q48" s="14"/>
      <c r="S48" s="14"/>
      <c r="T48" s="14"/>
    </row>
    <row r="49" spans="2:20" ht="19.2" customHeight="1" x14ac:dyDescent="0.3">
      <c r="B49" s="152">
        <v>4</v>
      </c>
      <c r="C49" s="125">
        <f>IFERROR(VLOOKUP($B49,list_materiel,COLUMN(Logistique!G$2)-COLUMN(Logistique!$A$2)+1,FALSE),"")</f>
        <v>380109</v>
      </c>
      <c r="D49" s="138" t="str">
        <f>IFERROR(VLOOKUP($B49,list_materiel,COLUMN(Logistique!I$2)-COLUMN(Logistique!$A$2)+1,FALSE),"")</f>
        <v>Etriers spring inter black - ISY-PV</v>
      </c>
      <c r="E49" s="136"/>
      <c r="F49" s="136"/>
      <c r="G49" s="125">
        <f>IFERROR(IF(OR($H$39=Données!$C$28,'Configurateur ISY-PV'!$H$40=Données!$C$29),NA(),VLOOKUP($B49,list_materiel,COLUMN(Logistique!J$2)-COLUMN(Logistique!$A$2)+1,FALSE)),"")</f>
        <v>20</v>
      </c>
      <c r="H49" s="152">
        <v>3</v>
      </c>
      <c r="I49" s="48"/>
      <c r="L49" s="273"/>
      <c r="M49" s="14"/>
      <c r="N49" s="14"/>
      <c r="P49" s="44"/>
      <c r="Q49" s="14"/>
      <c r="R49" s="273"/>
      <c r="S49" s="14"/>
      <c r="T49" s="14"/>
    </row>
    <row r="50" spans="2:20" ht="19.2" customHeight="1" x14ac:dyDescent="0.3">
      <c r="B50" s="152">
        <v>5</v>
      </c>
      <c r="C50" s="125">
        <f>IFERROR(VLOOKUP($B50,list_materiel,COLUMN(Logistique!G$2)-COLUMN(Logistique!$A$2)+1,FALSE),"")</f>
        <v>380057</v>
      </c>
      <c r="D50" s="138" t="str">
        <f>IFERROR(VLOOKUP($B50,list_materiel,COLUMN(Logistique!I$2)-COLUMN(Logistique!$A$2)+1,FALSE),"")</f>
        <v>Griffe MALT ISY-PV </v>
      </c>
      <c r="E50" s="136"/>
      <c r="F50" s="136"/>
      <c r="G50" s="125">
        <f>IFERROR(IF(OR($H$39=Données!$C$28,'Configurateur ISY-PV'!$H$40=Données!$C$29),NA(),VLOOKUP($B50,list_materiel,COLUMN(Logistique!J$2)-COLUMN(Logistique!$A$2)+1,FALSE)),"")</f>
        <v>12</v>
      </c>
      <c r="H50" s="152">
        <v>4</v>
      </c>
      <c r="I50" s="48"/>
      <c r="L50" s="273"/>
      <c r="M50" s="14"/>
      <c r="N50" s="45"/>
      <c r="P50" s="53"/>
      <c r="Q50" s="115"/>
      <c r="R50" s="115" t="s">
        <v>385</v>
      </c>
      <c r="S50" s="115"/>
      <c r="T50" s="115"/>
    </row>
    <row r="51" spans="2:20" ht="19.2" customHeight="1" x14ac:dyDescent="0.3">
      <c r="B51" s="152">
        <v>6</v>
      </c>
      <c r="C51" s="125">
        <f>IFERROR(VLOOKUP($B51,list_materiel,COLUMN(Logistique!G$2)-COLUMN(Logistique!$A$2)+1,FALSE),"")</f>
        <v>380105</v>
      </c>
      <c r="D51" s="138" t="str">
        <f>IFERROR(VLOOKUP($B51,list_materiel,COLUMN(Logistique!I$2)-COLUMN(Logistique!$A$2)+1,FALSE),"")</f>
        <v>Clip Omega - ISY PV</v>
      </c>
      <c r="E51" s="136"/>
      <c r="F51" s="136"/>
      <c r="G51" s="125">
        <f>IFERROR(IF(OR($H$39=Données!$C$28,'Configurateur ISY-PV'!$H$40=Données!$C$29),NA(),VLOOKUP($B51,list_materiel,COLUMN(Logistique!J$2)-COLUMN(Logistique!$A$2)+1,FALSE)),"")</f>
        <v>12</v>
      </c>
      <c r="H51" s="152">
        <v>5</v>
      </c>
      <c r="I51" s="48"/>
      <c r="L51" s="273"/>
      <c r="M51" s="14"/>
      <c r="N51" s="14"/>
      <c r="P51" s="53"/>
      <c r="Q51" s="115"/>
      <c r="R51" s="115" t="s">
        <v>388</v>
      </c>
      <c r="S51" s="115"/>
      <c r="T51" s="115"/>
    </row>
    <row r="52" spans="2:20" ht="19.2" customHeight="1" x14ac:dyDescent="0.3">
      <c r="B52" s="152">
        <v>7</v>
      </c>
      <c r="C52" s="125" t="str">
        <f>IFERROR(VLOOKUP($B52,list_materiel,COLUMN(Logistique!G$2)-COLUMN(Logistique!$A$2)+1,FALSE),"")</f>
        <v>380016 V3</v>
      </c>
      <c r="D52" s="138" t="str">
        <f>IFERROR(VLOOKUP($B52,list_materiel,COLUMN(Logistique!I$2)-COLUMN(Logistique!$A$2)+1,FALSE),"")</f>
        <v>Fixation micro-onduleur</v>
      </c>
      <c r="E52" s="136"/>
      <c r="F52" s="136"/>
      <c r="G52" s="125">
        <f>IFERROR(IF(OR($H$39=Données!$C$28,'Configurateur ISY-PV'!$H$40=Données!$C$29),NA(),VLOOKUP($B52,list_materiel,COLUMN(Logistique!J$2)-COLUMN(Logistique!$A$2)+1,FALSE)),"")</f>
        <v>12</v>
      </c>
      <c r="H52" s="152">
        <v>6</v>
      </c>
      <c r="I52" s="48"/>
      <c r="L52" s="273"/>
      <c r="M52" s="14"/>
      <c r="N52" s="14"/>
      <c r="P52" s="44"/>
      <c r="Q52" s="14"/>
      <c r="R52" s="273"/>
      <c r="S52" s="14"/>
      <c r="T52" s="14"/>
    </row>
    <row r="53" spans="2:20" ht="19.2" customHeight="1" x14ac:dyDescent="0.3">
      <c r="B53" s="152">
        <v>8</v>
      </c>
      <c r="C53" s="125" t="str">
        <f>IFERROR(VLOOKUP($B53,list_materiel,COLUMN(Logistique!G$2)-COLUMN(Logistique!$A$2)+1,FALSE),"")</f>
        <v/>
      </c>
      <c r="D53" s="138" t="str">
        <f>IFERROR(VLOOKUP($B53,list_materiel,COLUMN(Logistique!I$2)-COLUMN(Logistique!$A$2)+1,FALSE),"")</f>
        <v/>
      </c>
      <c r="E53" s="136"/>
      <c r="F53" s="136"/>
      <c r="G53" s="125" t="str">
        <f>IFERROR(IF(OR($H$39=Données!$C$28,'Configurateur ISY-PV'!$H$40=Données!$C$29),NA(),VLOOKUP($B53,list_materiel,COLUMN(Logistique!J$2)-COLUMN(Logistique!$A$2)+1,FALSE)),"")</f>
        <v/>
      </c>
      <c r="J53" s="44"/>
      <c r="K53" s="14"/>
      <c r="L53" s="273"/>
      <c r="M53" s="14"/>
      <c r="N53" s="14"/>
      <c r="P53" s="44"/>
      <c r="Q53" s="14"/>
      <c r="R53" s="14"/>
      <c r="S53" s="14"/>
      <c r="T53" s="14"/>
    </row>
    <row r="54" spans="2:20" ht="19.2" customHeight="1" x14ac:dyDescent="0.3">
      <c r="B54" s="152">
        <v>9</v>
      </c>
      <c r="C54" s="125" t="str">
        <f>IFERROR(VLOOKUP($B54,list_materiel,COLUMN(Logistique!G$2)-COLUMN(Logistique!$A$2)+1,FALSE),"")</f>
        <v/>
      </c>
      <c r="D54" s="138" t="str">
        <f>IFERROR(VLOOKUP($B54,list_materiel,COLUMN(Logistique!I$2)-COLUMN(Logistique!$A$2)+1,FALSE),"")</f>
        <v/>
      </c>
      <c r="E54" s="136"/>
      <c r="F54" s="136"/>
      <c r="G54" s="125" t="str">
        <f>IFERROR(IF(OR($H$39=Données!$C$28,'Configurateur ISY-PV'!$H$40=Données!$C$29),NA(),VLOOKUP($B54,list_materiel,COLUMN(Logistique!J$2)-COLUMN(Logistique!$A$2)+1,FALSE)),"")</f>
        <v/>
      </c>
      <c r="J54" s="44"/>
      <c r="K54" s="14"/>
      <c r="M54" s="14"/>
      <c r="N54" s="14"/>
      <c r="P54" s="272"/>
      <c r="Q54" s="14"/>
      <c r="S54" s="14"/>
      <c r="T54" s="14"/>
    </row>
    <row r="55" spans="2:20" ht="19.2" customHeight="1" x14ac:dyDescent="0.3">
      <c r="B55" s="152">
        <v>10</v>
      </c>
      <c r="C55" s="125" t="str">
        <f>IFERROR(VLOOKUP($B55,list_materiel,COLUMN(Logistique!G$2)-COLUMN(Logistique!$A$2)+1,FALSE),"")</f>
        <v/>
      </c>
      <c r="D55" s="138" t="str">
        <f>IFERROR(VLOOKUP($B55,list_materiel,COLUMN(Logistique!I$2)-COLUMN(Logistique!$A$2)+1,FALSE),"")</f>
        <v/>
      </c>
      <c r="E55" s="136"/>
      <c r="F55" s="136"/>
      <c r="G55" s="125" t="str">
        <f>IFERROR(IF(OR($H$39=Données!$C$28,'Configurateur ISY-PV'!$H$40=Données!$C$29),NA(),VLOOKUP($B55,list_materiel,COLUMN(Logistique!J$2)-COLUMN(Logistique!$A$2)+1,FALSE)),"")</f>
        <v/>
      </c>
      <c r="J55" s="262"/>
      <c r="K55" s="14"/>
      <c r="M55" s="14"/>
      <c r="N55" s="262"/>
      <c r="P55" s="262"/>
      <c r="Q55" s="14"/>
      <c r="S55" s="14"/>
      <c r="T55" s="262"/>
    </row>
    <row r="56" spans="2:20" ht="19.2" customHeight="1" x14ac:dyDescent="0.3">
      <c r="B56" s="152">
        <v>11</v>
      </c>
      <c r="C56" s="125" t="str">
        <f>IFERROR(VLOOKUP($B56,list_materiel,COLUMN(Logistique!G$2)-COLUMN(Logistique!$A$2)+1,FALSE),"")</f>
        <v/>
      </c>
      <c r="D56" s="138" t="str">
        <f>IFERROR(VLOOKUP($B56,list_materiel,COLUMN(Logistique!I$2)-COLUMN(Logistique!$A$2)+1,FALSE),"")</f>
        <v/>
      </c>
      <c r="E56" s="556"/>
      <c r="F56" s="556"/>
      <c r="G56" s="125" t="str">
        <f>IFERROR(IF(OR($H$39=Données!$C$28,'Configurateur ISY-PV'!$H$40=Données!$C$29),NA(),VLOOKUP($B56,list_materiel,COLUMN(Logistique!J$2)-COLUMN(Logistique!$A$2)+1,FALSE)),"")</f>
        <v/>
      </c>
      <c r="J56" s="262"/>
      <c r="K56" s="14"/>
      <c r="M56" s="14"/>
      <c r="N56" s="262"/>
      <c r="P56" s="262"/>
      <c r="Q56" s="14"/>
      <c r="S56" s="14"/>
      <c r="T56" s="262"/>
    </row>
    <row r="57" spans="2:20" ht="19.2" customHeight="1" x14ac:dyDescent="0.3">
      <c r="B57" s="152">
        <v>12</v>
      </c>
      <c r="C57" s="126" t="str">
        <f>IFERROR(VLOOKUP($B57,list_materiel,COLUMN(Logistique!G$2)-COLUMN(Logistique!$A$2)+1,FALSE),"")</f>
        <v/>
      </c>
      <c r="D57" s="154" t="str">
        <f>IFERROR(VLOOKUP($B57,list_materiel,COLUMN(Logistique!I$2)-COLUMN(Logistique!$A$2)+1,FALSE),"")</f>
        <v/>
      </c>
      <c r="E57" s="139"/>
      <c r="F57" s="139"/>
      <c r="G57" s="126" t="str">
        <f>IFERROR(IF(OR($H$39=Données!$C$28,'Configurateur ISY-PV'!$H$40=Données!$C$29),NA(),VLOOKUP($B57,list_materiel,COLUMN(Logistique!J$2)-COLUMN(Logistique!$A$2)+1,FALSE)),"")</f>
        <v/>
      </c>
      <c r="J57" s="446"/>
      <c r="K57" s="447"/>
      <c r="L57" s="446"/>
      <c r="M57" s="447"/>
      <c r="N57" s="446"/>
      <c r="P57" s="446"/>
      <c r="Q57" s="447"/>
      <c r="R57" s="446"/>
      <c r="S57" s="447"/>
      <c r="T57" s="446"/>
    </row>
    <row r="58" spans="2:20" x14ac:dyDescent="0.3">
      <c r="O58" s="448"/>
      <c r="P58" s="145"/>
    </row>
    <row r="59" spans="2:20" x14ac:dyDescent="0.3">
      <c r="J59" s="262"/>
      <c r="K59" s="14"/>
      <c r="L59" s="744"/>
      <c r="M59" s="14"/>
      <c r="N59" s="14"/>
      <c r="P59" s="262"/>
      <c r="Q59" s="14"/>
      <c r="R59" s="14"/>
      <c r="S59" s="14"/>
      <c r="T59" s="14"/>
    </row>
    <row r="60" spans="2:20" x14ac:dyDescent="0.3">
      <c r="C60" s="232" t="s">
        <v>312</v>
      </c>
      <c r="D60" s="39" t="str">
        <f>D69</f>
        <v>ISY-RAIL</v>
      </c>
      <c r="E60" s="40" t="str">
        <f t="shared" ref="E60:G60" si="0">E69</f>
        <v/>
      </c>
      <c r="F60" s="40" t="str">
        <f t="shared" si="0"/>
        <v>Etriers</v>
      </c>
      <c r="G60" s="41" t="str">
        <f t="shared" si="0"/>
        <v>Vis / Crochet</v>
      </c>
      <c r="J60" s="430"/>
      <c r="K60" s="14"/>
      <c r="L60" s="744"/>
      <c r="M60" s="14"/>
      <c r="N60" s="430"/>
      <c r="P60" s="430"/>
      <c r="Q60" s="431"/>
      <c r="R60" s="431"/>
      <c r="S60" s="431"/>
      <c r="T60" s="430"/>
    </row>
    <row r="61" spans="2:20" x14ac:dyDescent="0.3">
      <c r="B61" s="152">
        <v>1</v>
      </c>
      <c r="C61" s="313" t="str">
        <f>IFERROR(IF(Choix_forme='EC1-Vent'!$C$1,VLOOKUP($B61,Zone_exclusion_MP,2,FALSE),VLOOKUP($B61,Zone_exclusion_BP,2,FALSE)),"")</f>
        <v>Centre</v>
      </c>
      <c r="D61" s="317" t="str">
        <f>IFERROR(
VLOOKUP('Configurateur ISY-PV'!$C61,IF(Choix_forme='EC1-Vent'!$C$1,Verif_Mono,Verif_Bi),MATCH(D$60,Verif_elem,0),FALSE)
&amp;
IF($D$60='EC1 - CC'!$AC$58," par côté",IF(ISNUMBER(VLOOKUP('Configurateur ISY-PV'!$C61,IF(Choix_forme='EC1-Vent'!$C$1,Verif_Mono,Verif_Bi),MATCH(D$60,Verif_elem,0),FALSE))," mm","")),"")</f>
        <v>2 par côté</v>
      </c>
      <c r="E61" s="319" t="str">
        <f t="shared" ref="E61:E66" si="1">IFERROR(IF($E$60="","",VALUE(_xlfn.TEXTBEFORE(D61," "))/Entr_chev),"")</f>
        <v/>
      </c>
      <c r="F61" s="316">
        <f>IFERROR(IF(Choix_forme='EC1-Vent'!$C$1,VLOOKUP('Configurateur ISY-PV'!$C61,Verif_Mono,MATCH(F$69,Verif_elem,0),FALSE),VLOOKUP($C61,Verif_Bi,MATCH(F$69,Verif_elem,0),FALSE)),"")</f>
        <v>2</v>
      </c>
      <c r="G61" s="157">
        <f>IFERROR(IF(Choix_forme='EC1-Vent'!$C$1,VLOOKUP('Configurateur ISY-PV'!$C61,Verif_Mono,MATCH(G$69,Verif_elem,0),FALSE),VLOOKUP($C61,Verif_Bi,MATCH(G$69,Verif_elem,0),FALSE)),"")</f>
        <v>2</v>
      </c>
      <c r="I61" s="152">
        <f t="shared" ref="I61:I66" si="2">IFERROR(VALUE(_xlfn.TEXTBEFORE(D61," ")),"")</f>
        <v>2</v>
      </c>
      <c r="J61" s="14"/>
      <c r="K61" s="14"/>
      <c r="L61" s="14"/>
      <c r="M61" s="14"/>
      <c r="N61" s="14"/>
      <c r="P61" s="431"/>
      <c r="Q61" s="431"/>
      <c r="R61" s="431"/>
      <c r="S61" s="431"/>
      <c r="T61" s="431"/>
    </row>
    <row r="62" spans="2:20" x14ac:dyDescent="0.3">
      <c r="B62" s="152">
        <v>2</v>
      </c>
      <c r="C62" s="314" t="str">
        <f>IFERROR(IF(Choix_forme='EC1-Vent'!$C$1,VLOOKUP($B62,Zone_exclusion_MP,2,FALSE),VLOOKUP($B62,Zone_exclusion_BP,2,FALSE)),"")</f>
        <v>Egout</v>
      </c>
      <c r="D62" s="311" t="str">
        <f>IFERROR(
VLOOKUP('Configurateur ISY-PV'!$C62,IF(Choix_forme='EC1-Vent'!$C$1,Verif_Mono,Verif_Bi),MATCH(D$60,Verif_elem,0),FALSE)
&amp;
IF($D$60='EC1 - CC'!$AC$58," par côté",IF(ISNUMBER(VLOOKUP('Configurateur ISY-PV'!$C62,IF(Choix_forme='EC1-Vent'!$C$1,Verif_Mono,Verif_Bi),MATCH(D$60,Verif_elem,0),FALSE))," mm","")),"")</f>
        <v>2 par côté</v>
      </c>
      <c r="E62" s="312" t="str">
        <f t="shared" si="1"/>
        <v/>
      </c>
      <c r="F62" s="14">
        <f>IFERROR(IF(Choix_forme='EC1-Vent'!$C$1,VLOOKUP('Configurateur ISY-PV'!$C62,Verif_Mono,MATCH(F$69,Verif_elem,0),FALSE),VLOOKUP($C62,Verif_Bi,MATCH(F$69,Verif_elem,0),FALSE)),"")</f>
        <v>2</v>
      </c>
      <c r="G62" s="150">
        <f>IFERROR(IF(Choix_forme='EC1-Vent'!$C$1,VLOOKUP('Configurateur ISY-PV'!$C62,Verif_Mono,MATCH(G$69,Verif_elem,0),FALSE),VLOOKUP($C62,Verif_Bi,MATCH(G$69,Verif_elem,0),FALSE)),"")</f>
        <v>2</v>
      </c>
      <c r="I62" s="152">
        <f t="shared" si="2"/>
        <v>2</v>
      </c>
      <c r="J62" s="14"/>
      <c r="K62" s="14"/>
      <c r="L62" s="14"/>
      <c r="M62" s="14"/>
      <c r="N62" s="14"/>
      <c r="P62" s="431"/>
      <c r="Q62" s="431"/>
      <c r="R62" s="431"/>
      <c r="S62" s="431"/>
      <c r="T62" s="431"/>
    </row>
    <row r="63" spans="2:20" x14ac:dyDescent="0.3">
      <c r="B63" s="152">
        <v>3</v>
      </c>
      <c r="C63" s="314" t="str">
        <f>IFERROR(IF(Choix_forme='EC1-Vent'!$C$1,VLOOKUP($B63,Zone_exclusion_MP,2,FALSE),VLOOKUP($B63,Zone_exclusion_BP,2,FALSE)),"")</f>
        <v>Faitage</v>
      </c>
      <c r="D63" s="311" t="str">
        <f>IFERROR(
VLOOKUP('Configurateur ISY-PV'!$C63,IF(Choix_forme='EC1-Vent'!$C$1,Verif_Mono,Verif_Bi),MATCH(D$60,Verif_elem,0),FALSE)
&amp;
IF($D$60='EC1 - CC'!$AC$58," par côté",IF(ISNUMBER(VLOOKUP('Configurateur ISY-PV'!$C63,IF(Choix_forme='EC1-Vent'!$C$1,Verif_Mono,Verif_Bi),MATCH(D$60,Verif_elem,0),FALSE))," mm","")),"")</f>
        <v>2 par côté</v>
      </c>
      <c r="E63" s="312" t="str">
        <f t="shared" si="1"/>
        <v/>
      </c>
      <c r="F63" s="14">
        <f>IFERROR(IF(Choix_forme='EC1-Vent'!$C$1,VLOOKUP('Configurateur ISY-PV'!$C63,Verif_Mono,MATCH(F$69,Verif_elem,0),FALSE),VLOOKUP($C63,Verif_Bi,MATCH(F$69,Verif_elem,0),FALSE)),"")</f>
        <v>2</v>
      </c>
      <c r="G63" s="150">
        <f>IFERROR(IF(Choix_forme='EC1-Vent'!$C$1,VLOOKUP('Configurateur ISY-PV'!$C63,Verif_Mono,MATCH(G$69,Verif_elem,0),FALSE),VLOOKUP($C63,Verif_Bi,MATCH(G$69,Verif_elem,0),FALSE)),"")</f>
        <v>2</v>
      </c>
      <c r="I63" s="152">
        <f t="shared" si="2"/>
        <v>2</v>
      </c>
      <c r="J63" s="14"/>
      <c r="K63" s="14"/>
      <c r="L63" s="14"/>
      <c r="M63" s="14"/>
      <c r="N63" s="14"/>
      <c r="P63" s="431"/>
      <c r="Q63" s="431"/>
      <c r="R63" s="431"/>
      <c r="S63" s="431"/>
      <c r="T63" s="431"/>
    </row>
    <row r="64" spans="2:20" x14ac:dyDescent="0.3">
      <c r="B64" s="152">
        <v>4</v>
      </c>
      <c r="C64" s="314" t="str">
        <f>IFERROR(IF(Choix_forme='EC1-Vent'!$C$1,VLOOKUP($B64,Zone_exclusion_MP,2,FALSE),VLOOKUP($B64,Zone_exclusion_BP,2,FALSE)),"")</f>
        <v/>
      </c>
      <c r="D64" s="311" t="str">
        <f>IFERROR(
VLOOKUP('Configurateur ISY-PV'!$C64,IF(Choix_forme='EC1-Vent'!$C$1,Verif_Mono,Verif_Bi),MATCH(D$60,Verif_elem,0),FALSE)
&amp;
IF($D$60='EC1 - CC'!$AC$58," par côté",IF(ISNUMBER(VLOOKUP('Configurateur ISY-PV'!$C64,IF(Choix_forme='EC1-Vent'!$C$1,Verif_Mono,Verif_Bi),MATCH(D$60,Verif_elem,0),FALSE))," mm","")),"")</f>
        <v/>
      </c>
      <c r="E64" s="312" t="str">
        <f t="shared" si="1"/>
        <v/>
      </c>
      <c r="F64" s="14" t="str">
        <f>IFERROR(IF(Choix_forme='EC1-Vent'!$C$1,VLOOKUP('Configurateur ISY-PV'!$C64,Verif_Mono,MATCH(F$69,Verif_elem,0),FALSE),VLOOKUP($C64,Verif_Bi,MATCH(F$69,Verif_elem,0),FALSE)),"")</f>
        <v/>
      </c>
      <c r="G64" s="150" t="str">
        <f>IFERROR(IF(Choix_forme='EC1-Vent'!$C$1,VLOOKUP('Configurateur ISY-PV'!$C64,Verif_Mono,MATCH(G$69,Verif_elem,0),FALSE),VLOOKUP($C64,Verif_Bi,MATCH(G$69,Verif_elem,0),FALSE)),"")</f>
        <v/>
      </c>
      <c r="I64" s="152" t="str">
        <f t="shared" si="2"/>
        <v/>
      </c>
      <c r="J64" s="449"/>
      <c r="K64" s="14"/>
      <c r="L64" s="449"/>
      <c r="M64" s="14"/>
      <c r="N64" s="449"/>
      <c r="P64" s="431"/>
      <c r="Q64" s="431"/>
      <c r="R64" s="431"/>
      <c r="S64" s="431"/>
      <c r="T64" s="431"/>
    </row>
    <row r="65" spans="2:20" x14ac:dyDescent="0.3">
      <c r="B65" s="152">
        <v>5</v>
      </c>
      <c r="C65" s="314" t="str">
        <f>IFERROR(IF(Choix_forme='EC1-Vent'!$C$1,VLOOKUP($B65,Zone_exclusion_MP,2,FALSE),VLOOKUP($B65,Zone_exclusion_BP,2,FALSE)),"")</f>
        <v/>
      </c>
      <c r="D65" s="311" t="str">
        <f>IFERROR(
VLOOKUP('Configurateur ISY-PV'!$C65,IF(Choix_forme='EC1-Vent'!$C$1,Verif_Mono,Verif_Bi),MATCH(D$60,Verif_elem,0),FALSE)
&amp;
IF($D$60='EC1 - CC'!$AC$58," par côté",IF(ISNUMBER(VLOOKUP('Configurateur ISY-PV'!$C65,IF(Choix_forme='EC1-Vent'!$C$1,Verif_Mono,Verif_Bi),MATCH(D$60,Verif_elem,0),FALSE))," mm","")),"")</f>
        <v/>
      </c>
      <c r="E65" s="312" t="str">
        <f t="shared" si="1"/>
        <v/>
      </c>
      <c r="F65" s="14" t="str">
        <f>IFERROR(IF(Choix_forme='EC1-Vent'!$C$1,VLOOKUP('Configurateur ISY-PV'!$C65,Verif_Mono,MATCH(F$69,Verif_elem,0),FALSE),VLOOKUP($C65,Verif_Bi,MATCH(F$69,Verif_elem,0),FALSE)),"")</f>
        <v/>
      </c>
      <c r="G65" s="150" t="str">
        <f>IFERROR(IF(Choix_forme='EC1-Vent'!$C$1,VLOOKUP('Configurateur ISY-PV'!$C65,Verif_Mono,MATCH(G$69,Verif_elem,0),FALSE),VLOOKUP($C65,Verif_Bi,MATCH(G$69,Verif_elem,0),FALSE)),"")</f>
        <v/>
      </c>
      <c r="I65" s="152" t="str">
        <f t="shared" si="2"/>
        <v/>
      </c>
      <c r="J65" s="14"/>
      <c r="K65" s="14"/>
      <c r="L65" s="14"/>
      <c r="M65" s="14"/>
      <c r="N65" s="14"/>
      <c r="P65" s="431"/>
      <c r="Q65" s="431"/>
      <c r="R65" s="431"/>
      <c r="S65" s="431"/>
      <c r="T65" s="431"/>
    </row>
    <row r="66" spans="2:20" x14ac:dyDescent="0.3">
      <c r="B66" s="152">
        <v>6</v>
      </c>
      <c r="C66" s="315" t="str">
        <f>IFERROR(IF(Choix_forme='EC1-Vent'!$C$1,VLOOKUP($B66,Zone_exclusion_MP,2,FALSE),VLOOKUP($B66,Zone_exclusion_BP,2,FALSE)),"")</f>
        <v/>
      </c>
      <c r="D66" s="318" t="str">
        <f>IFERROR(
VLOOKUP('Configurateur ISY-PV'!$C66,IF(Choix_forme='EC1-Vent'!$C$1,Verif_Mono,Verif_Bi),MATCH(D$60,Verif_elem,0),FALSE)
&amp;
IF($D$60='EC1 - CC'!$AC$58," par côté",IF(ISNUMBER(VLOOKUP('Configurateur ISY-PV'!$C66,IF(Choix_forme='EC1-Vent'!$C$1,Verif_Mono,Verif_Bi),MATCH(D$60,Verif_elem,0),FALSE))," mm","")),"")</f>
        <v/>
      </c>
      <c r="E66" s="320" t="str">
        <f t="shared" si="1"/>
        <v/>
      </c>
      <c r="F66" s="165" t="str">
        <f>IFERROR(IF(Choix_forme='EC1-Vent'!$C$1,VLOOKUP('Configurateur ISY-PV'!$C66,Verif_Mono,MATCH(F$69,Verif_elem,0),FALSE),VLOOKUP($C66,Verif_Bi,MATCH(F$69,Verif_elem,0),FALSE)),"")</f>
        <v/>
      </c>
      <c r="G66" s="160" t="str">
        <f>IFERROR(IF(Choix_forme='EC1-Vent'!$C$1,VLOOKUP('Configurateur ISY-PV'!$C66,Verif_Mono,MATCH(G$69,Verif_elem,0),FALSE),VLOOKUP($C66,Verif_Bi,MATCH(G$69,Verif_elem,0),FALSE)),"")</f>
        <v/>
      </c>
      <c r="I66" s="152" t="str">
        <f t="shared" si="2"/>
        <v/>
      </c>
      <c r="J66" s="14"/>
      <c r="K66" s="14"/>
      <c r="L66" s="14"/>
      <c r="M66" s="14"/>
      <c r="N66" s="14"/>
      <c r="P66" s="431"/>
      <c r="Q66" s="431"/>
      <c r="R66" s="431"/>
      <c r="S66" s="431"/>
      <c r="T66" s="431"/>
    </row>
    <row r="67" spans="2:20" x14ac:dyDescent="0.3">
      <c r="J67" s="14"/>
      <c r="K67" s="14"/>
      <c r="L67" s="14"/>
      <c r="M67" s="14"/>
      <c r="N67" s="14"/>
      <c r="P67" s="431"/>
      <c r="Q67" s="431"/>
      <c r="R67" s="431"/>
      <c r="S67" s="431"/>
      <c r="T67" s="431"/>
    </row>
    <row r="68" spans="2:20" x14ac:dyDescent="0.3">
      <c r="C68" s="340" t="s">
        <v>313</v>
      </c>
      <c r="J68" s="14"/>
      <c r="K68" s="14"/>
      <c r="L68" s="14"/>
      <c r="M68" s="14"/>
      <c r="N68" s="14"/>
      <c r="P68" s="431"/>
      <c r="Q68" s="431"/>
      <c r="R68" s="431"/>
      <c r="S68" s="431"/>
      <c r="T68" s="431"/>
    </row>
    <row r="69" spans="2:20" x14ac:dyDescent="0.3">
      <c r="C69" s="321" t="s">
        <v>154</v>
      </c>
      <c r="D69" s="322" t="str">
        <f>IF(OR(Choix_croch='Config type'!B12,Choix_croch='Config type'!B13),'EC1 - CC'!AC58,'EC1 - CC'!Z58)</f>
        <v>ISY-RAIL</v>
      </c>
      <c r="E69" s="323" t="str">
        <f>IFERROR(IF(D69='EC1 - CC'!AC58,"","Espacement"),"")</f>
        <v/>
      </c>
      <c r="F69" s="324" t="str">
        <f>'EC1 - CC'!AA58</f>
        <v>Etriers</v>
      </c>
      <c r="G69" s="325" t="str">
        <f>'EC1 - CC'!AB58</f>
        <v>Vis / Crochet</v>
      </c>
      <c r="I69" s="430"/>
      <c r="J69" s="14"/>
      <c r="K69" s="744"/>
      <c r="L69" s="14"/>
      <c r="M69" s="430"/>
      <c r="O69" s="430"/>
      <c r="P69" s="431"/>
      <c r="Q69" s="744"/>
      <c r="R69" s="431"/>
      <c r="S69" s="430"/>
    </row>
    <row r="70" spans="2:20" x14ac:dyDescent="0.3">
      <c r="B70" s="152">
        <v>1</v>
      </c>
      <c r="C70" s="326" t="str" cm="1">
        <f t="array" ref="C70">IFERROR(IF(Choix_forme='EC1-Vent'!$C$1,INDEX(Zone_Toit_Mono,'Configurateur ISY-PV'!$B70),INDEX(Zone_Toit_Bi,'Configurateur ISY-PV'!$B70)),"")</f>
        <v>Centre</v>
      </c>
      <c r="D70" s="327" t="str">
        <f>IFERROR(
VLOOKUP('Configurateur ISY-PV'!$C70,IF(Choix_forme='EC1-Vent'!$C$1,Verif_Mono,Verif_Bi),MATCH(D$69,Verif_elem,0),FALSE)
&amp;
IF($D$69='EC1 - CC'!$AC$58," par côté",IF(ISNUMBER(VLOOKUP('Configurateur ISY-PV'!$C70,IF(Choix_forme='EC1-Vent'!$C$1,Verif_Mono,Verif_Bi),MATCH(D$69,Verif_elem,0),FALSE))," mm","")),"")</f>
        <v>2 par côté</v>
      </c>
      <c r="E70" s="328" t="str">
        <f t="shared" ref="E70:E75" si="3">IFERROR(IF($E$69="","",VALUE(_xlfn.TEXTBEFORE(D70," "))/Entr_chev),"")</f>
        <v/>
      </c>
      <c r="F70" s="324">
        <f>IFERROR(IF(Choix_forme='EC1-Vent'!$C$1,VLOOKUP('Configurateur ISY-PV'!$C70,Verif_Mono,MATCH(F$69,Verif_elem,0),FALSE),VLOOKUP($C70,Verif_Bi,MATCH(F$69,Verif_elem,0),FALSE)),"")</f>
        <v>2</v>
      </c>
      <c r="G70" s="325">
        <f>IFERROR(IF(Choix_forme='EC1-Vent'!$C$1,VLOOKUP('Configurateur ISY-PV'!$C70,Verif_Mono,MATCH(G$69,Verif_elem,0),FALSE),VLOOKUP($C70,Verif_Bi,MATCH(G$69,Verif_elem,0),FALSE)),"")</f>
        <v>2</v>
      </c>
      <c r="H70" s="431"/>
      <c r="I70" s="431"/>
      <c r="J70" s="14"/>
      <c r="K70" s="744"/>
      <c r="L70" s="14"/>
      <c r="M70" s="14"/>
      <c r="O70" s="431"/>
      <c r="P70" s="431"/>
      <c r="Q70" s="744"/>
      <c r="R70" s="431"/>
      <c r="S70" s="431"/>
    </row>
    <row r="71" spans="2:20" x14ac:dyDescent="0.3">
      <c r="B71" s="152">
        <v>2</v>
      </c>
      <c r="C71" s="329" t="str" cm="1">
        <f t="array" ref="C71">IFERROR(IF(Choix_forme='EC1-Vent'!$C$1,INDEX(Zone_Toit_Mono,'Configurateur ISY-PV'!$B71),INDEX(Zone_Toit_Bi,'Configurateur ISY-PV'!$B71)),"")</f>
        <v>Rive</v>
      </c>
      <c r="D71" s="330" t="str">
        <f>IFERROR(
VLOOKUP('Configurateur ISY-PV'!$C71,IF(Choix_forme='EC1-Vent'!$C$1,Verif_Mono,Verif_Bi),MATCH(D$69,Verif_elem,0),FALSE)
&amp;
IF($D$69='EC1 - CC'!$AC$58," par côté",IF(ISNUMBER(VLOOKUP('Configurateur ISY-PV'!$C71,IF(Choix_forme='EC1-Vent'!$C$1,Verif_Mono,Verif_Bi),MATCH(D$69,Verif_elem,0),FALSE))," mm","")),"")</f>
        <v>2 par côté</v>
      </c>
      <c r="E71" s="331" t="str">
        <f t="shared" si="3"/>
        <v/>
      </c>
      <c r="F71" s="332">
        <f>IFERROR(IF(Choix_forme='EC1-Vent'!$C$1,VLOOKUP('Configurateur ISY-PV'!$C71,Verif_Mono,MATCH(F$69,Verif_elem,0),FALSE),VLOOKUP($C71,Verif_Bi,MATCH(F$69,Verif_elem,0),FALSE)),"")</f>
        <v>2</v>
      </c>
      <c r="G71" s="333">
        <f>IFERROR(IF(Choix_forme='EC1-Vent'!$C$1,VLOOKUP('Configurateur ISY-PV'!$C71,Verif_Mono,MATCH(G$69,Verif_elem,0),FALSE),VLOOKUP($C71,Verif_Bi,MATCH(G$69,Verif_elem,0),FALSE)),"")</f>
        <v>2</v>
      </c>
    </row>
    <row r="72" spans="2:20" x14ac:dyDescent="0.3">
      <c r="B72" s="152">
        <v>3</v>
      </c>
      <c r="C72" s="329" t="str" cm="1">
        <f t="array" ref="C72">IFERROR(IF(Choix_forme='EC1-Vent'!$C$1,INDEX(Zone_Toit_Mono,'Configurateur ISY-PV'!$B72),INDEX(Zone_Toit_Bi,'Configurateur ISY-PV'!$B72)),"")</f>
        <v>Egout</v>
      </c>
      <c r="D72" s="330" t="str">
        <f>IFERROR(
VLOOKUP('Configurateur ISY-PV'!$C72,IF(Choix_forme='EC1-Vent'!$C$1,Verif_Mono,Verif_Bi),MATCH(D$69,Verif_elem,0),FALSE)
&amp;
IF($D$69='EC1 - CC'!$AC$58," par côté",IF(ISNUMBER(VLOOKUP('Configurateur ISY-PV'!$C72,IF(Choix_forme='EC1-Vent'!$C$1,Verif_Mono,Verif_Bi),MATCH(D$69,Verif_elem,0),FALSE))," mm","")),"")</f>
        <v>2 par côté</v>
      </c>
      <c r="E72" s="331" t="str">
        <f t="shared" si="3"/>
        <v/>
      </c>
      <c r="F72" s="332">
        <f>IFERROR(IF(Choix_forme='EC1-Vent'!$C$1,VLOOKUP('Configurateur ISY-PV'!$C72,Verif_Mono,MATCH(F$69,Verif_elem,0),FALSE),VLOOKUP($C72,Verif_Bi,MATCH(F$69,Verif_elem,0),FALSE)),"")</f>
        <v>2</v>
      </c>
      <c r="G72" s="333">
        <f>IFERROR(IF(Choix_forme='EC1-Vent'!$C$1,VLOOKUP('Configurateur ISY-PV'!$C72,Verif_Mono,MATCH(G$69,Verif_elem,0),FALSE),VLOOKUP($C72,Verif_Bi,MATCH(G$69,Verif_elem,0),FALSE)),"")</f>
        <v>2</v>
      </c>
      <c r="I72" s="269"/>
      <c r="O72" s="269"/>
      <c r="Q72" s="45"/>
      <c r="S72" s="450"/>
    </row>
    <row r="73" spans="2:20" x14ac:dyDescent="0.3">
      <c r="B73" s="152">
        <v>4</v>
      </c>
      <c r="C73" s="329" t="str" cm="1">
        <f t="array" ref="C73">IFERROR(IF(Choix_forme='EC1-Vent'!$C$1,INDEX(Zone_Toit_Mono,'Configurateur ISY-PV'!$B73),INDEX(Zone_Toit_Bi,'Configurateur ISY-PV'!$B73)),"")</f>
        <v>Faitage</v>
      </c>
      <c r="D73" s="330" t="str">
        <f>IFERROR(
VLOOKUP('Configurateur ISY-PV'!$C73,IF(Choix_forme='EC1-Vent'!$C$1,Verif_Mono,Verif_Bi),MATCH(D$69,Verif_elem,0),FALSE)
&amp;
IF($D$69='EC1 - CC'!$AC$58," par côté",IF(ISNUMBER(VLOOKUP('Configurateur ISY-PV'!$C73,IF(Choix_forme='EC1-Vent'!$C$1,Verif_Mono,Verif_Bi),MATCH(D$69,Verif_elem,0),FALSE))," mm","")),"")</f>
        <v>2 par côté</v>
      </c>
      <c r="E73" s="331" t="str">
        <f t="shared" si="3"/>
        <v/>
      </c>
      <c r="F73" s="332">
        <f>IFERROR(IF(Choix_forme='EC1-Vent'!$C$1,VLOOKUP('Configurateur ISY-PV'!$C73,Verif_Mono,MATCH(F$69,Verif_elem,0),FALSE),VLOOKUP($C73,Verif_Bi,MATCH(F$69,Verif_elem,0),FALSE)),"")</f>
        <v>2</v>
      </c>
      <c r="G73" s="333">
        <f>IFERROR(IF(Choix_forme='EC1-Vent'!$C$1,VLOOKUP('Configurateur ISY-PV'!$C73,Verif_Mono,MATCH(G$69,Verif_elem,0),FALSE),VLOOKUP($C73,Verif_Bi,MATCH(G$69,Verif_elem,0),FALSE)),"")</f>
        <v>2</v>
      </c>
    </row>
    <row r="74" spans="2:20" x14ac:dyDescent="0.3">
      <c r="B74" s="152">
        <v>5</v>
      </c>
      <c r="C74" s="329" t="str" cm="1">
        <f t="array" ref="C74">IFERROR(IF(Choix_forme='EC1-Vent'!$C$1,INDEX(Zone_Toit_Mono,'Configurateur ISY-PV'!$B74),INDEX(Zone_Toit_Bi,'Configurateur ISY-PV'!$B74)),"")</f>
        <v>Angle inf.</v>
      </c>
      <c r="D74" s="330" t="str">
        <f>IFERROR(
VLOOKUP('Configurateur ISY-PV'!$C74,IF(Choix_forme='EC1-Vent'!$C$1,Verif_Mono,Verif_Bi),MATCH(D$69,Verif_elem,0),FALSE)
&amp;
IF($D$69='EC1 - CC'!$AC$58," par côté",IF(ISNUMBER(VLOOKUP('Configurateur ISY-PV'!$C74,IF(Choix_forme='EC1-Vent'!$C$1,Verif_Mono,Verif_Bi),MATCH(D$69,Verif_elem,0),FALSE))," mm","")),"")</f>
        <v>2 par côté</v>
      </c>
      <c r="E74" s="331" t="str">
        <f t="shared" si="3"/>
        <v/>
      </c>
      <c r="F74" s="332">
        <f>IFERROR(IF(Choix_forme='EC1-Vent'!$C$1,VLOOKUP('Configurateur ISY-PV'!$C74,Verif_Mono,MATCH(F$69,Verif_elem,0),FALSE),VLOOKUP($C74,Verif_Bi,MATCH(F$69,Verif_elem,0),FALSE)),"")</f>
        <v>2</v>
      </c>
      <c r="G74" s="333">
        <f>IFERROR(IF(Choix_forme='EC1-Vent'!$C$1,VLOOKUP('Configurateur ISY-PV'!$C74,Verif_Mono,MATCH(G$69,Verif_elem,0),FALSE),VLOOKUP($C74,Verif_Bi,MATCH(G$69,Verif_elem,0),FALSE)),"")</f>
        <v>2</v>
      </c>
    </row>
    <row r="75" spans="2:20" x14ac:dyDescent="0.3">
      <c r="B75" s="152">
        <v>6</v>
      </c>
      <c r="C75" s="334" t="str" cm="1">
        <f t="array" ref="C75">IFERROR(IF(Choix_forme='EC1-Vent'!$C$1,INDEX(Zone_Toit_Mono,'Configurateur ISY-PV'!$B75),INDEX(Zone_Toit_Bi,'Configurateur ISY-PV'!$B75)),"")</f>
        <v/>
      </c>
      <c r="D75" s="335" t="str">
        <f>IFERROR(
VLOOKUP('Configurateur ISY-PV'!$C75,IF(Choix_forme='EC1-Vent'!$C$1,Verif_Mono,Verif_Bi),MATCH(D$69,Verif_elem,0),FALSE)
&amp;
IF($D$69='EC1 - CC'!$AC$58," par côté",IF(ISNUMBER(VLOOKUP('Configurateur ISY-PV'!$C75,IF(Choix_forme='EC1-Vent'!$C$1,Verif_Mono,Verif_Bi),MATCH(D$69,Verif_elem,0),FALSE))," mm","")),"")</f>
        <v/>
      </c>
      <c r="E75" s="336" t="str">
        <f t="shared" si="3"/>
        <v/>
      </c>
      <c r="F75" s="337" t="str">
        <f>IFERROR(IF(Choix_forme='EC1-Vent'!$C$1,VLOOKUP('Configurateur ISY-PV'!$C75,Verif_Mono,MATCH(F$69,Verif_elem,0),FALSE),VLOOKUP($C75,Verif_Bi,MATCH(F$69,Verif_elem,0),FALSE)),"")</f>
        <v/>
      </c>
      <c r="G75" s="338" t="str">
        <f>IFERROR(IF(Choix_forme='EC1-Vent'!$C$1,VLOOKUP('Configurateur ISY-PV'!$C75,Verif_Mono,MATCH(G$69,Verif_elem,0),FALSE),VLOOKUP($C75,Verif_Bi,MATCH(G$69,Verif_elem,0),FALSE)),"")</f>
        <v/>
      </c>
    </row>
  </sheetData>
  <sheetProtection algorithmName="SHA-512" hashValue="Yo0MGKsiytrW3MgpT4CyHaBQu/BdoMyfyuK5sz4EM/uBmypjvmnCo+PLE0LSllhS9Q01EII7kCkZAVs9wUWVOw==" saltValue="qhCF8BVwpa4cm4urtHZVMw==" spinCount="100000" sheet="1" objects="1" scenarios="1" selectLockedCells="1"/>
  <mergeCells count="15">
    <mergeCell ref="Q69:Q70"/>
    <mergeCell ref="D45:F45"/>
    <mergeCell ref="D30:E30"/>
    <mergeCell ref="L59:L60"/>
    <mergeCell ref="K69:K70"/>
    <mergeCell ref="G1:H1"/>
    <mergeCell ref="D1:E1"/>
    <mergeCell ref="D38:E38"/>
    <mergeCell ref="I5:K5"/>
    <mergeCell ref="G5:H5"/>
    <mergeCell ref="C11:D11"/>
    <mergeCell ref="E11:F11"/>
    <mergeCell ref="D25:E25"/>
    <mergeCell ref="G2:H2"/>
    <mergeCell ref="E15:F16"/>
  </mergeCells>
  <conditionalFormatting sqref="D19">
    <cfRule type="cellIs" dxfId="41" priority="27" operator="greaterThan">
      <formula>25</formula>
    </cfRule>
  </conditionalFormatting>
  <conditionalFormatting sqref="D21">
    <cfRule type="cellIs" dxfId="40" priority="13" operator="notBetween">
      <formula>toit_larg_calc-0.1</formula>
      <formula>toit_larg_calc+0.1</formula>
    </cfRule>
  </conditionalFormatting>
  <conditionalFormatting sqref="D23">
    <cfRule type="cellIs" dxfId="39" priority="14" operator="notBetween">
      <formula>toit_ramp_calc-0.1</formula>
      <formula>toit_ramp_calc+0.1</formula>
    </cfRule>
  </conditionalFormatting>
  <conditionalFormatting sqref="D61:D66">
    <cfRule type="expression" dxfId="32" priority="15">
      <formula>$D61=Surcharge</formula>
    </cfRule>
  </conditionalFormatting>
  <dataValidations xWindow="237" yWindow="624" count="20">
    <dataValidation type="list" allowBlank="1" showInputMessage="1" showErrorMessage="1" sqref="D17" xr:uid="{3B2BF8FA-C348-42DF-B9A0-CB083370AFBD}">
      <formula1>Couverture</formula1>
    </dataValidation>
    <dataValidation type="list" allowBlank="1" showInputMessage="1" showErrorMessage="1" sqref="D30" xr:uid="{F264AC06-EEC4-42A5-93A0-F245F18DFC93}">
      <formula1>croch_comp</formula1>
    </dataValidation>
    <dataValidation type="decimal" allowBlank="1" showInputMessage="1" showErrorMessage="1" sqref="D19" xr:uid="{3054ED18-0263-4FA6-B615-9D4643AAA9F9}">
      <formula1>0</formula1>
      <formula2>25</formula2>
    </dataValidation>
    <dataValidation type="list" allowBlank="1" showInputMessage="1" showErrorMessage="1" sqref="D31" xr:uid="{4EDCDD88-F534-4773-9CCA-BF14E728A970}">
      <formula1>Couleur</formula1>
    </dataValidation>
    <dataValidation type="list" allowBlank="1" showInputMessage="1" showErrorMessage="1" sqref="D38" xr:uid="{CB63D4DE-47AA-4400-909B-AD4D0551ABF9}">
      <formula1>Mode_pose</formula1>
    </dataValidation>
    <dataValidation type="decimal" operator="greaterThanOrEqual" allowBlank="1" showInputMessage="1" showErrorMessage="1" sqref="H30:H31" xr:uid="{E8F33FBA-6819-4474-9531-8A8C2B5E5093}">
      <formula1>0</formula1>
    </dataValidation>
    <dataValidation operator="lessThanOrEqual" allowBlank="1" showInputMessage="1" showErrorMessage="1" sqref="H39:H40" xr:uid="{21065D16-C5B4-4331-A2C2-F424AC197927}"/>
    <dataValidation type="whole" allowBlank="1" showInputMessage="1" showErrorMessage="1" sqref="H32" xr:uid="{08DCA263-D9D2-47D8-B7A5-99AFA45317A6}">
      <formula1>30</formula1>
      <formula2>50</formula2>
    </dataValidation>
    <dataValidation type="whole" operator="greaterThan" allowBlank="1" showInputMessage="1" showErrorMessage="1" sqref="J30" xr:uid="{E0A1132A-C812-4867-B783-FF18300600B0}">
      <formula1>0</formula1>
    </dataValidation>
    <dataValidation type="whole" allowBlank="1" showInputMessage="1" showErrorMessage="1" sqref="D27" xr:uid="{B0990CAD-0942-4119-8FC4-C6957EF452F5}">
      <formula1>0</formula1>
      <formula2>entr_croch_max</formula2>
    </dataValidation>
    <dataValidation type="list" allowBlank="1" showInputMessage="1" showErrorMessage="1" sqref="D12" xr:uid="{BD46304E-2218-401D-B66F-513FB1CCC753}">
      <formula1>Vent_Zone</formula1>
    </dataValidation>
    <dataValidation type="list" allowBlank="1" showInputMessage="1" showErrorMessage="1" sqref="D13" xr:uid="{6B01283D-D4D2-46CF-BEBC-10C8CBD02E4F}">
      <formula1>Cat_Terrain</formula1>
    </dataValidation>
    <dataValidation type="list" allowBlank="1" showInputMessage="1" showErrorMessage="1" sqref="F12" xr:uid="{E6D56B91-AEA8-48ED-B45B-FA3293970CC0}">
      <formula1>Neige_Zones</formula1>
    </dataValidation>
    <dataValidation type="list" allowBlank="1" showInputMessage="1" showErrorMessage="1" sqref="D16" xr:uid="{15FA3062-84B3-466B-8DA1-5F0AD285A69B}">
      <formula1>Toit_Forme</formula1>
    </dataValidation>
    <dataValidation type="decimal" allowBlank="1" showInputMessage="1" showErrorMessage="1" sqref="J31" xr:uid="{137D030D-2E7B-44E1-9BB4-E15C10172A77}">
      <formula1>0</formula1>
      <formula2>50</formula2>
    </dataValidation>
    <dataValidation type="list" allowBlank="1" showInputMessage="1" showErrorMessage="1" sqref="N29" xr:uid="{4308A3BC-6532-438A-9A6B-2B24B672C4EF}">
      <formula1>Implant_PV</formula1>
    </dataValidation>
    <dataValidation type="list" allowBlank="1" showInputMessage="1" showErrorMessage="1" sqref="D32" xr:uid="{F68F4E65-FE18-4950-B61D-51A3A80E7B78}">
      <formula1>Rail</formula1>
    </dataValidation>
    <dataValidation type="decimal" operator="greaterThan" allowBlank="1" showInputMessage="1" showErrorMessage="1" sqref="D20" xr:uid="{370527A7-7FFC-4F80-8592-78B9421790BE}">
      <formula1>0</formula1>
    </dataValidation>
    <dataValidation type="list" allowBlank="1" showInputMessage="1" showErrorMessage="1" sqref="D18" xr:uid="{D51FF3C2-F0C6-4D11-A283-D477353D3D6E}">
      <formula1>espac_nerv</formula1>
    </dataValidation>
    <dataValidation type="list" allowBlank="1" showInputMessage="1" showErrorMessage="1" sqref="D33" xr:uid="{AC2185CC-27DA-459C-8922-7738E00E9147}">
      <formula1>"Oui,Non"</formula1>
    </dataValidation>
  </dataValidations>
  <pageMargins left="0.7" right="0.7" top="0.75" bottom="0.75" header="0.3" footer="0.3"/>
  <pageSetup paperSize="9" orientation="portrait" horizontalDpi="4294967293" verticalDpi="120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id="{8917A6C3-ADFE-4901-806C-C2A971E1C702}">
            <xm:f>$D$16='EC1-Vent'!$C$1</xm:f>
            <x14:dxf>
              <fill>
                <patternFill>
                  <bgColor theme="9" tint="0.59996337778862885"/>
                </patternFill>
              </fill>
            </x14:dxf>
          </x14:cfRule>
          <x14:cfRule type="expression" priority="17" id="{4EE4B92B-48B4-41EB-91F8-528A65D81BC3}">
            <xm:f>$D$16='EC1-Vent'!$C$2</xm:f>
            <x14:dxf>
              <fill>
                <patternFill>
                  <bgColor theme="8" tint="0.39994506668294322"/>
                </patternFill>
              </fill>
            </x14:dxf>
          </x14:cfRule>
          <xm:sqref>C60:C66</xm:sqref>
        </x14:conditionalFormatting>
        <x14:conditionalFormatting xmlns:xm="http://schemas.microsoft.com/office/excel/2006/main">
          <x14:cfRule type="expression" priority="4" id="{A3117107-78C4-4A41-B41F-CA8A5EDEB92E}">
            <xm:f>choix_couv='Config type'!$H$2</xm:f>
            <x14:dxf>
              <font>
                <color theme="1"/>
              </font>
              <fill>
                <patternFill>
                  <bgColor theme="7" tint="0.79998168889431442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" id="{F90B2B76-D9C5-4EDF-AA3B-73100BC7FD85}">
            <xm:f>Données!$I$30</xm:f>
            <x14:dxf>
              <font>
                <b/>
                <i/>
                <color rgb="FFC00000"/>
              </font>
            </x14:dxf>
          </x14:cfRule>
          <xm:sqref>D25</xm:sqref>
        </x14:conditionalFormatting>
        <x14:conditionalFormatting xmlns:xm="http://schemas.microsoft.com/office/excel/2006/main">
          <x14:cfRule type="expression" priority="33" id="{402CA5A2-740B-4029-B3BD-3EEE586FCFCB}">
            <xm:f>Données!$I$28</xm:f>
            <x14:dxf>
              <font>
                <color rgb="FFC00000"/>
              </font>
              <fill>
                <patternFill>
                  <bgColor rgb="FFFFCCCC"/>
                </patternFill>
              </fill>
            </x14:dxf>
          </x14:cfRule>
          <xm:sqref>D30</xm:sqref>
        </x14:conditionalFormatting>
        <x14:conditionalFormatting xmlns:xm="http://schemas.microsoft.com/office/excel/2006/main">
          <x14:cfRule type="expression" priority="2" id="{59E16AF5-19E0-4E39-80EF-65D53FE7590B}">
            <xm:f>Données!$I$31</xm:f>
            <x14:dxf>
              <font>
                <color rgb="FFC00000"/>
              </font>
              <fill>
                <patternFill>
                  <bgColor rgb="FFFFCCCC"/>
                </patternFill>
              </fill>
            </x14:dxf>
          </x14:cfRule>
          <xm:sqref>D32</xm:sqref>
        </x14:conditionalFormatting>
        <x14:conditionalFormatting xmlns:xm="http://schemas.microsoft.com/office/excel/2006/main">
          <x14:cfRule type="expression" priority="3" id="{DA235198-4771-4E15-ADB6-64F834D00A13}">
            <xm:f>AND(Choix_croch='Config type'!$B$13,Long_rail='Config type'!$M$44)</xm:f>
            <x14:dxf>
              <font>
                <color auto="1"/>
              </font>
              <fill>
                <patternFill>
                  <bgColor theme="7" tint="0.79998168889431442"/>
                </patternFill>
              </fill>
            </x14:dxf>
          </x14:cfRule>
          <xm:sqref>D33</xm:sqref>
        </x14:conditionalFormatting>
        <x14:conditionalFormatting xmlns:xm="http://schemas.microsoft.com/office/excel/2006/main">
          <x14:cfRule type="expression" priority="38" id="{F752FA14-0F8C-4181-8CE1-EF56FB7F6D7F}">
            <xm:f>$D$34=Données!$G$7</xm:f>
            <x14:dxf>
              <font>
                <color auto="1"/>
              </font>
              <fill>
                <patternFill>
                  <bgColor theme="2" tint="-9.9948118533890809E-2"/>
                </patternFill>
              </fill>
            </x14:dxf>
          </x14:cfRule>
          <xm:sqref>D34</xm:sqref>
        </x14:conditionalFormatting>
        <x14:conditionalFormatting xmlns:xm="http://schemas.microsoft.com/office/excel/2006/main">
          <x14:cfRule type="expression" priority="36" id="{66F5D849-782C-4742-8F10-F79BC92544BD}">
            <xm:f>Données!$I$29</xm:f>
            <x14:dxf>
              <font>
                <color rgb="FFC00000"/>
              </font>
              <fill>
                <patternFill>
                  <bgColor rgb="FFFFCCCC"/>
                </patternFill>
              </fill>
            </x14:dxf>
          </x14:cfRule>
          <xm:sqref>D38</xm:sqref>
        </x14:conditionalFormatting>
        <x14:conditionalFormatting xmlns:xm="http://schemas.microsoft.com/office/excel/2006/main">
          <x14:cfRule type="expression" priority="1" id="{4B755C92-2459-4D3E-99B0-BEA45E2902EC}">
            <xm:f>$D$17='Config type'!$C$2</xm:f>
            <x14:dxf>
              <fill>
                <patternFill>
                  <bgColor theme="7" tint="0.79998168889431442"/>
                </patternFill>
              </fill>
            </x14:dxf>
          </x14:cfRule>
          <xm:sqref>E17</xm:sqref>
        </x14:conditionalFormatting>
        <x14:conditionalFormatting xmlns:xm="http://schemas.microsoft.com/office/excel/2006/main">
          <x14:cfRule type="expression" priority="41" id="{8FBD0EAE-23D4-465A-959B-CF1D95403819}">
            <xm:f>$D$16=Données!$C$14</xm:f>
            <x14:dxf>
              <fill>
                <patternFill>
                  <bgColor theme="7" tint="0.79998168889431442"/>
                </patternFill>
              </fill>
            </x14:dxf>
          </x14:cfRule>
          <x14:cfRule type="expression" priority="42" id="{0B8F385D-939C-4152-9251-42EC3AE9978A}">
            <xm:f>$D$16=Données!$D$14</xm:f>
            <x14:dxf>
              <fill>
                <patternFill>
                  <bgColor theme="1" tint="0.14996795556505021"/>
                </patternFill>
              </fill>
            </x14:dxf>
          </x14:cfRule>
          <xm:sqref>G16:J26</xm:sqref>
        </x14:conditionalFormatting>
        <x14:conditionalFormatting xmlns:xm="http://schemas.microsoft.com/office/excel/2006/main">
          <x14:cfRule type="expression" priority="31" id="{D9E57C42-B3A9-4D04-9505-87AD3125D652}">
            <xm:f>OR(H39=Données!$C$28,H39=Données!$C$29)</xm:f>
            <x14:dxf>
              <font>
                <color rgb="FFC00000"/>
              </font>
              <fill>
                <patternFill>
                  <bgColor rgb="FFFFCCCC"/>
                </patternFill>
              </fill>
            </x14:dxf>
          </x14:cfRule>
          <xm:sqref>H39:H40</xm:sqref>
        </x14:conditionalFormatting>
        <x14:conditionalFormatting xmlns:xm="http://schemas.microsoft.com/office/excel/2006/main">
          <x14:cfRule type="expression" priority="40" id="{8AF03E20-1B9D-4904-BA94-6D8D455AFA80}">
            <xm:f>$G$41=Données!$C$30</xm:f>
            <x14:dxf>
              <font>
                <color theme="5" tint="-0.499984740745262"/>
              </font>
              <fill>
                <patternFill>
                  <bgColor theme="7" tint="0.79998168889431442"/>
                </patternFill>
              </fill>
            </x14:dxf>
          </x14:cfRule>
          <xm:sqref>I40 G41:H41</xm:sqref>
        </x14:conditionalFormatting>
        <x14:conditionalFormatting xmlns:xm="http://schemas.microsoft.com/office/excel/2006/main">
          <x14:cfRule type="expression" priority="43" id="{16076EE2-78D2-4224-9AAC-9DEEDFB12DE1}">
            <xm:f>$D$16=Données!$C$14</xm:f>
            <x14:dxf>
              <font>
                <b/>
                <i val="0"/>
                <strike val="0"/>
                <color theme="9" tint="-0.499984740745262"/>
              </font>
              <fill>
                <patternFill>
                  <bgColor theme="9" tint="0.79998168889431442"/>
                </patternFill>
              </fill>
            </x14:dxf>
          </x14:cfRule>
          <x14:cfRule type="expression" priority="44" id="{53A9CFFA-D5F1-4383-9370-1C828F5E2D9B}">
            <xm:f>$D$16=Données!$D$14</xm:f>
            <x14:dxf>
              <font>
                <b/>
                <i val="0"/>
                <strike val="0"/>
                <color rgb="FF002060"/>
              </font>
              <fill>
                <patternFill>
                  <bgColor theme="8" tint="0.79998168889431442"/>
                </patternFill>
              </fill>
            </x14:dxf>
          </x14:cfRule>
          <xm:sqref>L45</xm:sqref>
        </x14:conditionalFormatting>
        <x14:conditionalFormatting xmlns:xm="http://schemas.microsoft.com/office/excel/2006/main">
          <x14:cfRule type="expression" priority="45" id="{3D6A0CCA-3657-40EC-B9F0-5A12FE602138}">
            <xm:f>$D$16=Données!$C$14</xm:f>
            <x14:dxf>
              <fill>
                <patternFill>
                  <bgColor theme="1" tint="0.14996795556505021"/>
                </patternFill>
              </fill>
            </x14:dxf>
          </x14:cfRule>
          <x14:cfRule type="expression" priority="46" id="{22C837DB-09F6-481A-9054-4F36E8DA660A}">
            <xm:f>$D$16=Données!$D$14</xm:f>
            <x14:dxf>
              <fill>
                <patternFill>
                  <bgColor theme="8" tint="0.79998168889431442"/>
                </patternFill>
              </fill>
            </x14:dxf>
          </x14:cfRule>
          <xm:sqref>L16:N26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237" yWindow="624" count="5">
        <x14:dataValidation type="list" allowBlank="1" showInputMessage="1" showErrorMessage="1" xr:uid="{3CA11A33-C6A3-4715-AF9D-45FB1154C759}">
          <x14:formula1>
            <xm:f>Données!$C$7:$G$7</xm:f>
          </x14:formula1>
          <xm:sqref>D34</xm:sqref>
        </x14:dataValidation>
        <x14:dataValidation type="list" allowBlank="1" showInputMessage="1" showErrorMessage="1" xr:uid="{0FB776CF-E432-49C0-912A-256A7EB47203}">
          <x14:formula1>
            <xm:f>'Config type'!$B$38:$B$41</xm:f>
          </x14:formula1>
          <xm:sqref>D25</xm:sqref>
        </x14:dataValidation>
        <x14:dataValidation type="list" allowBlank="1" showInputMessage="1" showErrorMessage="1" xr:uid="{9FFBDE0A-6BB1-456C-B1D6-5882FB142B77}">
          <x14:formula1>
            <xm:f>Données!$C$12:$F$12</xm:f>
          </x14:formula1>
          <xm:sqref>D26</xm:sqref>
        </x14:dataValidation>
        <x14:dataValidation type="decimal" allowBlank="1" showInputMessage="1" showErrorMessage="1" errorTitle="Valeur incorrecte" error="Pente hors limite !_x000a__x000a_Veuillez saisir une valeur comprise dans l'intervalle autorisé." xr:uid="{9C035131-3B74-4A3B-B35D-58A37C30D4A4}">
          <x14:formula1>
            <xm:f>'Config type'!B24</xm:f>
          </x14:formula1>
          <x14:formula2>
            <xm:f>'Config type'!B25</xm:f>
          </x14:formula2>
          <xm:sqref>D22</xm:sqref>
        </x14:dataValidation>
        <x14:dataValidation type="decimal" operator="lessThanOrEqual" allowBlank="1" showInputMessage="1" showErrorMessage="1" errorTitle="Valeur incorrecte" error="Rampant trop important !_x000a__x000a_Veuillez saisir une valeur inférieure à la limite autorisée." promptTitle="Rampant - Largeur - Pente" prompt="Veillez à ce que la valeur de rampant soit cohérente avec celle de la largeur du bâtiment et la pente de toit._x000a_Référez vous à la valeur calculée dans les cellules ci-contre." xr:uid="{C64A85A0-12D3-4607-B515-51DC5A26647A}">
          <x14:formula1>
            <xm:f>'Config type'!B26</xm:f>
          </x14:formula1>
          <xm:sqref>D23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271F3-F0A6-48E7-A551-8CEFFBCBE791}">
  <sheetPr codeName="Sheet6"/>
  <dimension ref="A1:AC70"/>
  <sheetViews>
    <sheetView topLeftCell="A21" zoomScaleNormal="100" workbookViewId="0">
      <selection activeCell="F69" sqref="F69"/>
    </sheetView>
  </sheetViews>
  <sheetFormatPr baseColWidth="10" defaultColWidth="11.5546875" defaultRowHeight="14.4" x14ac:dyDescent="0.3"/>
  <cols>
    <col min="2" max="2" width="5.33203125" bestFit="1" customWidth="1"/>
    <col min="3" max="3" width="21.6640625" customWidth="1"/>
    <col min="7" max="7" width="12.44140625" bestFit="1" customWidth="1"/>
    <col min="10" max="10" width="12.88671875" bestFit="1" customWidth="1"/>
    <col min="11" max="11" width="14.44140625" bestFit="1" customWidth="1"/>
    <col min="25" max="25" width="15.6640625" bestFit="1" customWidth="1"/>
    <col min="27" max="27" width="15.5546875" bestFit="1" customWidth="1"/>
  </cols>
  <sheetData>
    <row r="1" spans="1:28" x14ac:dyDescent="0.3">
      <c r="B1" t="s">
        <v>480</v>
      </c>
      <c r="C1" t="s">
        <v>487</v>
      </c>
    </row>
    <row r="2" spans="1:28" x14ac:dyDescent="0.3">
      <c r="B2" t="s">
        <v>481</v>
      </c>
      <c r="C2" t="s">
        <v>486</v>
      </c>
      <c r="F2" s="23" t="s">
        <v>306</v>
      </c>
      <c r="G2" s="299">
        <f>(mod_poids/(mod_haut*mod_larg/1000000)+2)/100</f>
        <v>0.12810226474244638</v>
      </c>
      <c r="I2" s="23" t="s">
        <v>476</v>
      </c>
      <c r="J2" s="299">
        <f>'EC1-Neige'!C23</f>
        <v>0.33828934348292705</v>
      </c>
      <c r="K2" s="23" t="s">
        <v>479</v>
      </c>
      <c r="L2" s="299">
        <f>'EC1-Neige'!C25</f>
        <v>0.75175409662872683</v>
      </c>
    </row>
    <row r="3" spans="1:28" x14ac:dyDescent="0.3">
      <c r="B3" t="s">
        <v>482</v>
      </c>
      <c r="C3" t="s">
        <v>488</v>
      </c>
      <c r="F3" s="23" t="s">
        <v>305</v>
      </c>
      <c r="G3" s="299">
        <f>$G$2*COS(RADIANS(pente))</f>
        <v>0.12037675288443971</v>
      </c>
      <c r="I3" s="23" t="s">
        <v>308</v>
      </c>
      <c r="J3" s="299">
        <f>'EC1-Neige'!E23</f>
        <v>0.31788799976141607</v>
      </c>
      <c r="K3" s="23" t="s">
        <v>478</v>
      </c>
      <c r="L3" s="299">
        <f>'EC1-Neige'!E25</f>
        <v>0.70641777724759136</v>
      </c>
    </row>
    <row r="4" spans="1:28" x14ac:dyDescent="0.3">
      <c r="A4" s="812" t="s">
        <v>543</v>
      </c>
      <c r="B4" t="s">
        <v>285</v>
      </c>
      <c r="C4" s="300" t="s">
        <v>296</v>
      </c>
      <c r="F4" s="23" t="s">
        <v>304</v>
      </c>
      <c r="G4" s="299">
        <f>$G$2*SIN(RADIANS(pente))</f>
        <v>4.3813554947554269E-2</v>
      </c>
      <c r="I4" s="23" t="s">
        <v>307</v>
      </c>
      <c r="J4" s="299">
        <f>'EC1-Neige'!E24</f>
        <v>0.11570176974357708</v>
      </c>
      <c r="K4" s="23" t="s">
        <v>477</v>
      </c>
      <c r="L4" s="299">
        <f>'EC1-Neige'!E26</f>
        <v>0.25711504387461576</v>
      </c>
    </row>
    <row r="5" spans="1:28" x14ac:dyDescent="0.3">
      <c r="A5" s="812"/>
      <c r="B5" t="s">
        <v>286</v>
      </c>
      <c r="C5" s="300" t="s">
        <v>297</v>
      </c>
    </row>
    <row r="6" spans="1:28" x14ac:dyDescent="0.3">
      <c r="A6" s="812"/>
      <c r="B6" t="s">
        <v>287</v>
      </c>
      <c r="C6" s="300" t="s">
        <v>301</v>
      </c>
    </row>
    <row r="7" spans="1:28" x14ac:dyDescent="0.3">
      <c r="A7" s="812"/>
      <c r="B7" t="s">
        <v>470</v>
      </c>
      <c r="C7" t="s">
        <v>471</v>
      </c>
    </row>
    <row r="9" spans="1:28" ht="18" thickBot="1" x14ac:dyDescent="0.4">
      <c r="C9" s="408" t="s">
        <v>491</v>
      </c>
      <c r="Q9" s="408" t="s">
        <v>490</v>
      </c>
      <c r="R9" s="408"/>
    </row>
    <row r="10" spans="1:28" ht="15" thickTop="1" x14ac:dyDescent="0.3"/>
    <row r="11" spans="1:28" x14ac:dyDescent="0.3">
      <c r="D11" s="14" t="s">
        <v>246</v>
      </c>
      <c r="E11" s="14" t="s">
        <v>245</v>
      </c>
      <c r="F11" s="14" t="s">
        <v>249</v>
      </c>
      <c r="G11" s="14" t="s">
        <v>248</v>
      </c>
      <c r="H11" s="612" t="s">
        <v>303</v>
      </c>
      <c r="I11" s="14" t="s">
        <v>302</v>
      </c>
      <c r="J11" s="612" t="s">
        <v>265</v>
      </c>
      <c r="K11" s="612" t="s">
        <v>472</v>
      </c>
      <c r="L11" s="612" t="s">
        <v>480</v>
      </c>
      <c r="M11" s="14" t="s">
        <v>481</v>
      </c>
      <c r="N11" s="612" t="s">
        <v>482</v>
      </c>
      <c r="R11" s="14" t="s">
        <v>246</v>
      </c>
      <c r="S11" s="14" t="s">
        <v>245</v>
      </c>
      <c r="T11" s="14" t="s">
        <v>249</v>
      </c>
      <c r="U11" s="14" t="s">
        <v>248</v>
      </c>
      <c r="V11" s="612" t="s">
        <v>303</v>
      </c>
      <c r="W11" s="14" t="s">
        <v>302</v>
      </c>
      <c r="X11" s="612" t="s">
        <v>265</v>
      </c>
      <c r="Y11" s="612" t="s">
        <v>472</v>
      </c>
      <c r="Z11" s="612" t="s">
        <v>480</v>
      </c>
      <c r="AA11" s="14" t="s">
        <v>481</v>
      </c>
      <c r="AB11" s="612" t="s">
        <v>482</v>
      </c>
    </row>
    <row r="12" spans="1:28" x14ac:dyDescent="0.3">
      <c r="A12" s="811" t="s">
        <v>531</v>
      </c>
      <c r="B12">
        <v>1</v>
      </c>
      <c r="C12" s="621" t="s">
        <v>155</v>
      </c>
      <c r="D12" s="613">
        <f>MIN('EC1-Vent'!$E$44:$E$45,'EC1-Vent'!$H$44:$H$45,'EC1-Vent'!$F$57:$G$57)</f>
        <v>-1.1231063818345972</v>
      </c>
      <c r="E12" s="613">
        <f>MAX('EC1-Vent'!$E$44:$E$45,'EC1-Vent'!$H$44:$H$45,'EC1-Vent'!$F$57:$G$57)</f>
        <v>0.26666666666666666</v>
      </c>
      <c r="F12" s="622">
        <f t="shared" ref="F12:G17" si="0">D12*Qpz</f>
        <v>-788.07842992990697</v>
      </c>
      <c r="G12" s="615">
        <f t="shared" si="0"/>
        <v>187.11873726335793</v>
      </c>
      <c r="H12" s="622">
        <f>1.35*G_droit*1000+1.5*(Sn_droit*1000+0.6*'EC1 - CC'!$G12)</f>
        <v>807.74747957313991</v>
      </c>
      <c r="I12" s="614">
        <f>1.35*G_droit*1000+1.5*(0.5*Sn_droit*1000+'EC1 - CC'!$G12)</f>
        <v>681.6027221100926</v>
      </c>
      <c r="J12" s="614">
        <f t="shared" ref="J12:J17" si="1">F12*1.5+0.9*G_droit*1000</f>
        <v>-1073.7785672988646</v>
      </c>
      <c r="K12" s="615">
        <f t="shared" ref="K12:K17" si="2">G_droit*1000+Sa_droit*1000+0.6*G12</f>
        <v>939.0657724900459</v>
      </c>
      <c r="L12" s="614">
        <f t="shared" ref="L12:L17" si="3">G_droit*1000+(Sn_droit*1000+0.6*G12)</f>
        <v>550.53599500387054</v>
      </c>
      <c r="M12" s="614">
        <f t="shared" ref="M12:M17" si="4">G_droit*1000+G12+0.6*Sn_droit*1000</f>
        <v>498.22829000464725</v>
      </c>
      <c r="N12" s="615">
        <f t="shared" ref="N12:N17" si="5">G_droit*1000+F12</f>
        <v>-667.70167704546725</v>
      </c>
      <c r="Q12" s="155" t="str">
        <f t="shared" ref="Q12:Q17" si="6">C12</f>
        <v>Centre</v>
      </c>
      <c r="R12" s="625">
        <f>MIN('EC1-Vent'!$E$78:$E$79,'EC1-Vent'!$H$78:$H$79,'EC1-Vent'!$F$91:$G$91)</f>
        <v>-0.8666666666666667</v>
      </c>
      <c r="S12" s="626">
        <f>MAX('EC1-Vent'!$E$78:$E$79,'EC1-Vent'!$H$78:$H$79,'EC1-Vent'!$F$91:$G$91)</f>
        <v>0.26666666666666666</v>
      </c>
      <c r="T12" s="614">
        <f t="shared" ref="T12:T17" si="7">R12*Qpz</f>
        <v>-608.13589610591328</v>
      </c>
      <c r="U12" s="614">
        <f t="shared" ref="U12:U17" si="8">S12*Qpz</f>
        <v>187.11873726335793</v>
      </c>
      <c r="V12" s="622">
        <f>1.35*G_droit*1000+1.5*(Sn_droit*1000+0.6*'EC1 - CC'!$G12)</f>
        <v>807.74747957313991</v>
      </c>
      <c r="W12" s="614">
        <f>1.35*G_droit*1000+1.5*(0.5*Sn_droit*1000+'EC1 - CC'!$G12)</f>
        <v>681.6027221100926</v>
      </c>
      <c r="X12" s="614">
        <f t="shared" ref="X12:X17" si="9">T12*1.5+0.9*G_droit*1000</f>
        <v>-803.86476656287425</v>
      </c>
      <c r="Y12" s="615">
        <f t="shared" ref="Y12:Y17" si="10">G_droit*1000+Sa_droit*1000+0.6*U12</f>
        <v>939.0657724900459</v>
      </c>
      <c r="Z12" s="614">
        <f t="shared" ref="Z12:Z17" si="11">G_droit*1000+(Sn_droit*1000+0.6*U12)</f>
        <v>550.53599500387054</v>
      </c>
      <c r="AA12" s="614">
        <f t="shared" ref="AA12:AA17" si="12">G_droit*1000+U12+0.6*Sn_droit*1000</f>
        <v>498.22829000464725</v>
      </c>
      <c r="AB12" s="615">
        <f t="shared" ref="AB12:AB17" si="13">G_droit*1000+T12</f>
        <v>-487.75914322147355</v>
      </c>
    </row>
    <row r="13" spans="1:28" x14ac:dyDescent="0.3">
      <c r="A13" s="811"/>
      <c r="B13">
        <v>2</v>
      </c>
      <c r="C13" s="516" t="s">
        <v>156</v>
      </c>
      <c r="D13" s="604">
        <f>MIN('EC1-Vent'!$E$44:$E$45,'EC1-Vent'!$H$44:$H$45,'EC1-Vent'!$E$57,'EC1-Vent'!$G$57)</f>
        <v>-2.162982590108014</v>
      </c>
      <c r="E13" s="604">
        <f>MAX('EC1-Vent'!$E$44:$E$45,'EC1-Vent'!$H$44:$H$45,'EC1-Vent'!$E$57,'EC1-Vent'!$G$57)</f>
        <v>0.26666666666666666</v>
      </c>
      <c r="F13" s="623">
        <f t="shared" si="0"/>
        <v>-1517.7546411886458</v>
      </c>
      <c r="G13" s="617">
        <f t="shared" si="0"/>
        <v>187.11873726335793</v>
      </c>
      <c r="H13" s="623">
        <f>1.35*G_droit*1000+1.5*(Sn_droit*1000+0.6*'EC1 - CC'!$G13)</f>
        <v>807.74747957313991</v>
      </c>
      <c r="I13" s="616">
        <f>1.35*G_droit*1000+1.5*(0.5*Sn_droit*1000+'EC1 - CC'!$G13)</f>
        <v>681.6027221100926</v>
      </c>
      <c r="J13" s="616">
        <f t="shared" si="1"/>
        <v>-2168.292884186973</v>
      </c>
      <c r="K13" s="617">
        <f t="shared" si="2"/>
        <v>939.0657724900459</v>
      </c>
      <c r="L13" s="616">
        <f t="shared" si="3"/>
        <v>550.53599500387054</v>
      </c>
      <c r="M13" s="616">
        <f t="shared" si="4"/>
        <v>498.22829000464725</v>
      </c>
      <c r="N13" s="617">
        <f t="shared" si="5"/>
        <v>-1397.3778883042062</v>
      </c>
      <c r="Q13" s="283" t="str">
        <f t="shared" si="6"/>
        <v>Rive</v>
      </c>
      <c r="R13" s="627">
        <f>MIN('EC1-Vent'!$E$78:$E$79,'EC1-Vent'!$H$78:$H$79,'EC1-Vent'!$E$91,'EC1-Vent'!$G$91)</f>
        <v>-1.7666666666666666</v>
      </c>
      <c r="S13" s="628">
        <f>MAX('EC1-Vent'!$E$78:$E$79,'EC1-Vent'!$H$78:$H$79,'EC1-Vent'!$E$91,'EC1-Vent'!$G$91)</f>
        <v>0.26666666666666666</v>
      </c>
      <c r="T13" s="616">
        <f t="shared" si="7"/>
        <v>-1239.6616343697463</v>
      </c>
      <c r="U13" s="616">
        <f t="shared" si="8"/>
        <v>187.11873726335793</v>
      </c>
      <c r="V13" s="623">
        <f>1.35*G_droit*1000+1.5*(Sn_droit*1000+0.6*'EC1 - CC'!$G13)</f>
        <v>807.74747957313991</v>
      </c>
      <c r="W13" s="616">
        <f>1.35*G_droit*1000+1.5*(0.5*Sn_droit*1000+'EC1 - CC'!$G13)</f>
        <v>681.6027221100926</v>
      </c>
      <c r="X13" s="616">
        <f t="shared" si="9"/>
        <v>-1751.1533739586237</v>
      </c>
      <c r="Y13" s="617">
        <f t="shared" si="10"/>
        <v>939.0657724900459</v>
      </c>
      <c r="Z13" s="616">
        <f t="shared" si="11"/>
        <v>550.53599500387054</v>
      </c>
      <c r="AA13" s="616">
        <f t="shared" si="12"/>
        <v>498.22829000464725</v>
      </c>
      <c r="AB13" s="617">
        <f t="shared" si="13"/>
        <v>-1119.2848814853066</v>
      </c>
    </row>
    <row r="14" spans="1:28" x14ac:dyDescent="0.3">
      <c r="A14" s="811"/>
      <c r="B14">
        <v>3</v>
      </c>
      <c r="C14" s="516" t="s">
        <v>224</v>
      </c>
      <c r="D14" s="604">
        <f>MIN('EC1-Vent'!$F$57:$G$57,'EC1-Vent'!$D$44:$D$45,'EC1-Vent'!$H$44:$H$45)</f>
        <v>-1.2595048330936665</v>
      </c>
      <c r="E14" s="604">
        <f>MAX('EC1-Vent'!$F$57:$G$57,'EC1-Vent'!$D$44:$D$45,'EC1-Vent'!$H$44:$H$45)</f>
        <v>0.36666666666666664</v>
      </c>
      <c r="F14" s="623">
        <f t="shared" si="0"/>
        <v>-883.7885772959371</v>
      </c>
      <c r="G14" s="617">
        <f t="shared" si="0"/>
        <v>257.28826373711712</v>
      </c>
      <c r="H14" s="623">
        <f>1.35*G_droit*1000+1.5*(Sn_droit*1000+0.6*'EC1 - CC'!$G14)</f>
        <v>870.90005339952313</v>
      </c>
      <c r="I14" s="616">
        <f>1.35*G_droit*1000+1.5*(0.5*Sn_droit*1000+'EC1 - CC'!$G14)</f>
        <v>786.85701182073149</v>
      </c>
      <c r="J14" s="616">
        <f t="shared" si="1"/>
        <v>-1217.3437883479098</v>
      </c>
      <c r="K14" s="617">
        <f t="shared" si="2"/>
        <v>981.16748837430146</v>
      </c>
      <c r="L14" s="616">
        <f t="shared" si="3"/>
        <v>592.63771088812609</v>
      </c>
      <c r="M14" s="616">
        <f t="shared" si="4"/>
        <v>568.39781647840641</v>
      </c>
      <c r="N14" s="617">
        <f t="shared" si="5"/>
        <v>-763.41182441149738</v>
      </c>
      <c r="Q14" s="283" t="str">
        <f t="shared" si="6"/>
        <v>Egout</v>
      </c>
      <c r="R14" s="627">
        <f>MIN('EC1-Vent'!$D$78:$D$79,'EC1-Vent'!$H$78:$H$79,'EC1-Vent'!$F$91:$G$91)</f>
        <v>-0.8666666666666667</v>
      </c>
      <c r="S14" s="628">
        <f>MAX('EC1-Vent'!$D$78:$D$79,'EC1-Vent'!$H$78:$H$79,'EC1-Vent'!$F$91:$G$91)</f>
        <v>0.36666666666666664</v>
      </c>
      <c r="T14" s="616">
        <f t="shared" si="7"/>
        <v>-608.13589610591328</v>
      </c>
      <c r="U14" s="616">
        <f t="shared" si="8"/>
        <v>257.28826373711712</v>
      </c>
      <c r="V14" s="623">
        <f>1.35*G_droit*1000+1.5*(Sn_droit*1000+0.6*'EC1 - CC'!$G14)</f>
        <v>870.90005339952313</v>
      </c>
      <c r="W14" s="616">
        <f>1.35*G_droit*1000+1.5*(0.5*Sn_droit*1000+'EC1 - CC'!$G14)</f>
        <v>786.85701182073149</v>
      </c>
      <c r="X14" s="616">
        <f t="shared" si="9"/>
        <v>-803.86476656287425</v>
      </c>
      <c r="Y14" s="617">
        <f t="shared" si="10"/>
        <v>981.16748837430146</v>
      </c>
      <c r="Z14" s="616">
        <f t="shared" si="11"/>
        <v>592.63771088812609</v>
      </c>
      <c r="AA14" s="616">
        <f t="shared" si="12"/>
        <v>568.39781647840641</v>
      </c>
      <c r="AB14" s="617">
        <f t="shared" si="13"/>
        <v>-487.75914322147355</v>
      </c>
    </row>
    <row r="15" spans="1:28" x14ac:dyDescent="0.3">
      <c r="A15" s="811"/>
      <c r="B15">
        <v>4</v>
      </c>
      <c r="C15" s="516" t="s">
        <v>223</v>
      </c>
      <c r="D15" s="604">
        <f>MIN('EC1-Vent'!$F$57:$G$57,'EC1-Vent'!$E$44:$E$45,'EC1-Vent'!$G$44:$G$45)</f>
        <v>-1.6229000622902914</v>
      </c>
      <c r="E15" s="604">
        <f>MAX('EC1-Vent'!$F$57:$G$57,'EC1-Vent'!$E$44:$E$45,'EC1-Vent'!$G$44:$G$45)</f>
        <v>0.26666666666666666</v>
      </c>
      <c r="F15" s="623">
        <f t="shared" si="0"/>
        <v>-1138.7812888514409</v>
      </c>
      <c r="G15" s="617">
        <f t="shared" si="0"/>
        <v>187.11873726335793</v>
      </c>
      <c r="H15" s="623">
        <f>1.35*G_droit*1000+1.5*(Sn_droit*1000+0.6*'EC1 - CC'!$G15)</f>
        <v>807.74747957313991</v>
      </c>
      <c r="I15" s="616">
        <f>1.35*G_droit*1000+1.5*(0.5*Sn_droit*1000+'EC1 - CC'!$G15)</f>
        <v>681.6027221100926</v>
      </c>
      <c r="J15" s="616">
        <f t="shared" si="1"/>
        <v>-1599.8328556811655</v>
      </c>
      <c r="K15" s="617">
        <f t="shared" si="2"/>
        <v>939.0657724900459</v>
      </c>
      <c r="L15" s="616">
        <f t="shared" si="3"/>
        <v>550.53599500387054</v>
      </c>
      <c r="M15" s="616">
        <f t="shared" si="4"/>
        <v>498.22829000464725</v>
      </c>
      <c r="N15" s="617">
        <f t="shared" si="5"/>
        <v>-1018.4045359670012</v>
      </c>
      <c r="Q15" s="283" t="str">
        <f t="shared" si="6"/>
        <v>Faitage</v>
      </c>
      <c r="R15" s="627">
        <f>MIN('EC1-Vent'!$F$91:$G$91,'EC1-Vent'!$E$78:$E$79,'EC1-Vent'!$G$78:$G$79)</f>
        <v>-1.1333333333333333</v>
      </c>
      <c r="S15" s="628">
        <f>MAX('EC1-Vent'!$F$91:$G$91,'EC1-Vent'!$E$78:$E$79,'EC1-Vent'!$G$78:$G$79)</f>
        <v>0.26666666666666666</v>
      </c>
      <c r="T15" s="616">
        <f t="shared" si="7"/>
        <v>-795.25463336927112</v>
      </c>
      <c r="U15" s="616">
        <f t="shared" si="8"/>
        <v>187.11873726335793</v>
      </c>
      <c r="V15" s="623">
        <f>1.35*G_droit*1000+1.5*(Sn_droit*1000+0.6*'EC1 - CC'!$G15)</f>
        <v>807.74747957313991</v>
      </c>
      <c r="W15" s="616">
        <f>1.35*G_droit*1000+1.5*(0.5*Sn_droit*1000+'EC1 - CC'!$G15)</f>
        <v>681.6027221100926</v>
      </c>
      <c r="X15" s="616">
        <f t="shared" si="9"/>
        <v>-1084.5428724579108</v>
      </c>
      <c r="Y15" s="617">
        <f t="shared" si="10"/>
        <v>939.0657724900459</v>
      </c>
      <c r="Z15" s="616">
        <f t="shared" si="11"/>
        <v>550.53599500387054</v>
      </c>
      <c r="AA15" s="616">
        <f t="shared" si="12"/>
        <v>498.22829000464725</v>
      </c>
      <c r="AB15" s="617">
        <f t="shared" si="13"/>
        <v>-674.87788048483139</v>
      </c>
    </row>
    <row r="16" spans="1:28" x14ac:dyDescent="0.3">
      <c r="A16" s="811"/>
      <c r="B16">
        <v>5</v>
      </c>
      <c r="C16" s="516" t="s">
        <v>234</v>
      </c>
      <c r="D16" s="604">
        <f>MIN('EC1-Vent'!$C$44:$C$45,'EC1-Vent'!$E$44:$E$45,'EC1-Vent'!$H$44:$H$45,'EC1-Vent'!$D$57,'EC1-Vent'!$F$57,'EC1-Vent'!$G$57)</f>
        <v>-2.0361921317147638</v>
      </c>
      <c r="E16" s="604">
        <f>MAX('EC1-Vent'!$C$44:$C$45,'EC1-Vent'!$E$44:$E$45,'EC1-Vent'!$H$44:$H$45,'EC1-Vent'!$D$57,'EC1-Vent'!$F$57,'EC1-Vent'!$G$57)</f>
        <v>0.36666666666666664</v>
      </c>
      <c r="F16" s="623">
        <f t="shared" si="0"/>
        <v>-1428.7863769201933</v>
      </c>
      <c r="G16" s="617">
        <f t="shared" si="0"/>
        <v>257.28826373711712</v>
      </c>
      <c r="H16" s="623">
        <f>1.35*G_droit*1000+1.5*(Sn_droit*1000+0.6*'EC1 - CC'!$G16)</f>
        <v>870.90005339952313</v>
      </c>
      <c r="I16" s="616">
        <f>1.35*G_droit*1000+1.5*(0.5*Sn_droit*1000+'EC1 - CC'!$G16)</f>
        <v>786.85701182073149</v>
      </c>
      <c r="J16" s="616">
        <f t="shared" si="1"/>
        <v>-2034.8404877842943</v>
      </c>
      <c r="K16" s="617">
        <f t="shared" si="2"/>
        <v>981.16748837430146</v>
      </c>
      <c r="L16" s="616">
        <f t="shared" si="3"/>
        <v>592.63771088812609</v>
      </c>
      <c r="M16" s="616">
        <f t="shared" si="4"/>
        <v>568.39781647840641</v>
      </c>
      <c r="N16" s="617">
        <f t="shared" si="5"/>
        <v>-1308.4096240357537</v>
      </c>
      <c r="Q16" s="283" t="str">
        <f t="shared" si="6"/>
        <v>Angle inf.</v>
      </c>
      <c r="R16" s="627">
        <f>MIN('EC1-Vent'!$D$91,'EC1-Vent'!$F$91:$G$91,'EC1-Vent'!$C$78:$C$79,'EC1-Vent'!$E$78:$E$79,'EC1-Vent'!$H$78:$H$79)</f>
        <v>-1.5</v>
      </c>
      <c r="S16" s="628">
        <f>MAX('EC1-Vent'!$D$91,'EC1-Vent'!$F$91:$G$91,'EC1-Vent'!$C$78:$C$79,'EC1-Vent'!$E$78:$E$79,'EC1-Vent'!$H$78:$H$79)</f>
        <v>0.36666666666666664</v>
      </c>
      <c r="T16" s="616">
        <f t="shared" si="7"/>
        <v>-1052.5428971063884</v>
      </c>
      <c r="U16" s="616">
        <f t="shared" si="8"/>
        <v>257.28826373711712</v>
      </c>
      <c r="V16" s="623">
        <f>1.35*G_droit*1000+1.5*(Sn_droit*1000+0.6*'EC1 - CC'!$G16)</f>
        <v>870.90005339952313</v>
      </c>
      <c r="W16" s="616">
        <f>1.35*G_droit*1000+1.5*(0.5*Sn_droit*1000+'EC1 - CC'!$G16)</f>
        <v>786.85701182073149</v>
      </c>
      <c r="X16" s="616">
        <f t="shared" si="9"/>
        <v>-1470.4752680635868</v>
      </c>
      <c r="Y16" s="617">
        <f t="shared" si="10"/>
        <v>981.16748837430146</v>
      </c>
      <c r="Z16" s="616">
        <f t="shared" si="11"/>
        <v>592.63771088812609</v>
      </c>
      <c r="AA16" s="616">
        <f t="shared" si="12"/>
        <v>568.39781647840641</v>
      </c>
      <c r="AB16" s="617">
        <f t="shared" si="13"/>
        <v>-932.16614422194868</v>
      </c>
    </row>
    <row r="17" spans="1:28" x14ac:dyDescent="0.3">
      <c r="A17" s="811"/>
      <c r="B17">
        <v>6</v>
      </c>
      <c r="C17" s="515" t="s">
        <v>235</v>
      </c>
      <c r="D17" s="618">
        <f>MIN('EC1-Vent'!$E$44:$F$45,'EC1-Vent'!$H$44:$H$45,'EC1-Vent'!$C$57,'EC1-Vent'!$F$57:$G$57)</f>
        <v>-2.7196286248202499</v>
      </c>
      <c r="E17" s="618">
        <f>MAX('EC1-Vent'!$E$44:$F$45,'EC1-Vent'!$H$44:$H$45,'EC1-Vent'!$C$57,'EC1-Vent'!$F$57:$G$57)</f>
        <v>0.26666666666666666</v>
      </c>
      <c r="F17" s="624">
        <f t="shared" si="0"/>
        <v>-1908.350527881179</v>
      </c>
      <c r="G17" s="620">
        <f t="shared" si="0"/>
        <v>187.11873726335793</v>
      </c>
      <c r="H17" s="624">
        <f>1.35*G_droit*1000+1.5*(Sn_droit*1000+0.6*'EC1 - CC'!$G17)</f>
        <v>807.74747957313991</v>
      </c>
      <c r="I17" s="619">
        <f>1.35*G_droit*1000+1.5*(0.5*Sn_droit*1000+'EC1 - CC'!$G17)</f>
        <v>681.6027221100926</v>
      </c>
      <c r="J17" s="619">
        <f t="shared" si="1"/>
        <v>-2754.1867142257729</v>
      </c>
      <c r="K17" s="620">
        <f t="shared" si="2"/>
        <v>939.0657724900459</v>
      </c>
      <c r="L17" s="619">
        <f t="shared" si="3"/>
        <v>550.53599500387054</v>
      </c>
      <c r="M17" s="619">
        <f t="shared" si="4"/>
        <v>498.22829000464725</v>
      </c>
      <c r="N17" s="620">
        <f t="shared" si="5"/>
        <v>-1787.9737749967394</v>
      </c>
      <c r="Q17" s="302" t="str">
        <f t="shared" si="6"/>
        <v>Angles Sup.</v>
      </c>
      <c r="R17" s="629">
        <f>MIN('EC1-Vent'!$E$78:$E$79,'EC1-Vent'!$F$78:$F$79,'EC1-Vent'!$H$78:$H$79,'EC1-Vent'!$C$91,'EC1-Vent'!$F$91:$G$91)</f>
        <v>-2.2999999999999998</v>
      </c>
      <c r="S17" s="630">
        <f>MAX('EC1-Vent'!$E$78:$E$79,'EC1-Vent'!$F$78:$F$79,'EC1-Vent'!$H$78:$H$79,'EC1-Vent'!$C$91,'EC1-Vent'!$F$91:$G$91)</f>
        <v>0.26666666666666666</v>
      </c>
      <c r="T17" s="619">
        <f t="shared" si="7"/>
        <v>-1613.8991088964619</v>
      </c>
      <c r="U17" s="619">
        <f t="shared" si="8"/>
        <v>187.11873726335793</v>
      </c>
      <c r="V17" s="624">
        <f>1.35*G_droit*1000+1.5*(Sn_droit*1000+0.6*'EC1 - CC'!$G17)</f>
        <v>807.74747957313991</v>
      </c>
      <c r="W17" s="619">
        <f>1.35*G_droit*1000+1.5*(0.5*Sn_droit*1000+'EC1 - CC'!$G17)</f>
        <v>681.6027221100926</v>
      </c>
      <c r="X17" s="619">
        <f t="shared" si="9"/>
        <v>-2312.5095857486972</v>
      </c>
      <c r="Y17" s="620">
        <f t="shared" si="10"/>
        <v>939.0657724900459</v>
      </c>
      <c r="Z17" s="619">
        <f t="shared" si="11"/>
        <v>550.53599500387054</v>
      </c>
      <c r="AA17" s="619">
        <f t="shared" si="12"/>
        <v>498.22829000464725</v>
      </c>
      <c r="AB17" s="620">
        <f t="shared" si="13"/>
        <v>-1493.5223560120223</v>
      </c>
    </row>
    <row r="18" spans="1:28" x14ac:dyDescent="0.3">
      <c r="A18" s="811"/>
      <c r="C18" s="621" t="s">
        <v>155</v>
      </c>
      <c r="D18" s="613">
        <f>MIN('EC1-Vent'!$M$44:$N$45,'EC1-Vent'!$M$57:$N$57)</f>
        <v>-1.0396698887291109</v>
      </c>
      <c r="E18" s="613">
        <f>MAX('EC1-Vent'!$M$44:$N$45,'EC1-Vent'!$M$57:$N$57)</f>
        <v>0.26666666666666666</v>
      </c>
      <c r="F18" s="622">
        <f t="shared" ref="F18:G22" si="14">D18*Qpz</f>
        <v>-729.53143781147651</v>
      </c>
      <c r="G18" s="615">
        <f t="shared" si="14"/>
        <v>187.11873726335793</v>
      </c>
      <c r="H18" s="622">
        <f>1.35*G_droit*1000+1.5*(Sn_droit*1000+0.6*'EC1 - CC'!$G12)</f>
        <v>807.74747957313991</v>
      </c>
      <c r="I18" s="614">
        <f>1.36*G_droit*1000+1.5*(0.5*Sn_droit*1000+'EC1 - CC'!$G18)</f>
        <v>682.80648963893702</v>
      </c>
      <c r="J18" s="614">
        <f>F18*1.5+0.9*G_droit*1000</f>
        <v>-985.95807912121916</v>
      </c>
      <c r="K18" s="615">
        <f>G_droit*1000+Sa_droit*1000+0.6*G18</f>
        <v>939.0657724900459</v>
      </c>
      <c r="L18" s="614">
        <f>G_droit*1000+(Sn_droit*1000+0.6*G18)</f>
        <v>550.53599500387054</v>
      </c>
      <c r="M18" s="614">
        <f>G_droit*1000+G18+0.6*Sn_droit*1000</f>
        <v>498.22829000464725</v>
      </c>
      <c r="N18" s="615">
        <f>G_droit*1000+F18</f>
        <v>-609.15468492703678</v>
      </c>
      <c r="Q18" s="155" t="str">
        <f>C18</f>
        <v>Centre</v>
      </c>
      <c r="R18" s="625">
        <f>MIN('EC1-Vent'!$M$78:$N$79,'EC1-Vent'!$M$91:$N$91)</f>
        <v>-0.66666666666666663</v>
      </c>
      <c r="S18" s="626">
        <f>MAX('EC1-Vent'!$M$78:$N$79,'EC1-Vent'!$M$91:$N$91)</f>
        <v>0.26666666666666666</v>
      </c>
      <c r="T18" s="614">
        <f t="shared" ref="T18:T22" si="15">R18*Qpz</f>
        <v>-467.79684315839478</v>
      </c>
      <c r="U18" s="614">
        <f t="shared" ref="U18:U22" si="16">S18*Qpz</f>
        <v>187.11873726335793</v>
      </c>
      <c r="V18" s="622">
        <f>1.35*G_droit*1000+1.5*(Sn_droit*1000+0.6*'EC1 - CC'!$G12)</f>
        <v>807.74747957313991</v>
      </c>
      <c r="W18" s="614">
        <f>1.36*G_droit*1000+1.5*(0.5*Sn_droit*1000+'EC1 - CC'!$G18)</f>
        <v>682.80648963893702</v>
      </c>
      <c r="X18" s="614">
        <f>T18*1.5+0.9*G_droit*1000</f>
        <v>-593.35618714159648</v>
      </c>
      <c r="Y18" s="615">
        <f>G_droit*1000+Sa_droit*1000+0.6*U18</f>
        <v>939.0657724900459</v>
      </c>
      <c r="Z18" s="614">
        <f>G_droit*1000+(Sn_droit*1000+0.6*U18)</f>
        <v>550.53599500387054</v>
      </c>
      <c r="AA18" s="614">
        <f>G_droit*1000+U18+0.6*Sn_droit*1000</f>
        <v>498.22829000464725</v>
      </c>
      <c r="AB18" s="615">
        <f>G_droit*1000+T18</f>
        <v>-347.42009027395505</v>
      </c>
    </row>
    <row r="19" spans="1:28" x14ac:dyDescent="0.3">
      <c r="A19" s="811"/>
      <c r="C19" s="516" t="s">
        <v>156</v>
      </c>
      <c r="D19" s="604">
        <f>MIN('EC1-Vent'!$M$44:$O$45,'EC1-Vent'!$L$57,'EC1-Vent'!$N$57)</f>
        <v>-1.7995873609113886</v>
      </c>
      <c r="E19" s="604">
        <f>MAX('EC1-Vent'!$M$44:$O$45,'EC1-Vent'!$L$57,'EC1-Vent'!$N$57)</f>
        <v>0.26666666666666666</v>
      </c>
      <c r="F19" s="623">
        <f t="shared" si="14"/>
        <v>-1262.7619296331418</v>
      </c>
      <c r="G19" s="617">
        <f t="shared" si="14"/>
        <v>187.11873726335793</v>
      </c>
      <c r="H19" s="623">
        <f>1.35*G_droit*1000+1.5*(Sn_droit*1000+0.6*'EC1 - CC'!$G13)</f>
        <v>807.74747957313991</v>
      </c>
      <c r="I19" s="616">
        <f>1.36*G_droit*1000+1.5*(0.5*Sn_droit*1000+'EC1 - CC'!$G19)</f>
        <v>682.80648963893702</v>
      </c>
      <c r="J19" s="616">
        <f>F19*1.5+0.9*G_droit*1000</f>
        <v>-1785.8038168537169</v>
      </c>
      <c r="K19" s="617">
        <f>G_droit*1000+Sa_droit*1000+0.6*G19</f>
        <v>939.0657724900459</v>
      </c>
      <c r="L19" s="616">
        <f>G_droit*1000+(Sn_droit*1000+0.6*G19)</f>
        <v>550.53599500387054</v>
      </c>
      <c r="M19" s="616">
        <f>G_droit*1000+G19+0.6*Sn_droit*1000</f>
        <v>498.22829000464725</v>
      </c>
      <c r="N19" s="617">
        <f>G_droit*1000+F19</f>
        <v>-1142.3851767487022</v>
      </c>
      <c r="Q19" s="283" t="str">
        <f>C19</f>
        <v>Rive</v>
      </c>
      <c r="R19" s="627">
        <f>MIN('EC1-Vent'!$M78:$O$79,'EC1-Vent'!$L$91,'EC1-Vent'!$N$91)</f>
        <v>-1.3333333333333333</v>
      </c>
      <c r="S19" s="628">
        <f>MAX('EC1-Vent'!$M78:$O$79,'EC1-Vent'!$L$91,'EC1-Vent'!$N$91)</f>
        <v>0.26666666666666666</v>
      </c>
      <c r="T19" s="616">
        <f t="shared" si="15"/>
        <v>-935.59368631678956</v>
      </c>
      <c r="U19" s="616">
        <f t="shared" si="16"/>
        <v>187.11873726335793</v>
      </c>
      <c r="V19" s="623">
        <f>1.35*G_droit*1000+1.5*(Sn_droit*1000+0.6*'EC1 - CC'!$G13)</f>
        <v>807.74747957313991</v>
      </c>
      <c r="W19" s="616">
        <f>1.36*G_droit*1000+1.5*(0.5*Sn_droit*1000+'EC1 - CC'!$G19)</f>
        <v>682.80648963893702</v>
      </c>
      <c r="X19" s="616">
        <f>T19*1.5+0.9*G_droit*1000</f>
        <v>-1295.0514518791886</v>
      </c>
      <c r="Y19" s="617">
        <f>G_droit*1000+Sa_droit*1000+0.6*U19</f>
        <v>939.0657724900459</v>
      </c>
      <c r="Z19" s="616">
        <f>G_droit*1000+(Sn_droit*1000+0.6*U19)</f>
        <v>550.53599500387054</v>
      </c>
      <c r="AA19" s="616">
        <f>G_droit*1000+U19+0.6*Sn_droit*1000</f>
        <v>498.22829000464725</v>
      </c>
      <c r="AB19" s="617">
        <f>G_droit*1000+T19</f>
        <v>-815.21693343234983</v>
      </c>
    </row>
    <row r="20" spans="1:28" x14ac:dyDescent="0.3">
      <c r="A20" s="811"/>
      <c r="C20" s="516" t="s">
        <v>224</v>
      </c>
      <c r="D20" s="604">
        <f>MIN('EC1-Vent'!$L$44:$L$45,'EC1-Vent'!$N$44:$N$45,'EC1-Vent'!$M$57:$N$57)</f>
        <v>-1.2595048330936665</v>
      </c>
      <c r="E20" s="604">
        <f>MAX('EC1-Vent'!$L$44:$L$45,'EC1-Vent'!$N$44:$N$45,'EC1-Vent'!$M$57:$N$57)</f>
        <v>0.36666666666666664</v>
      </c>
      <c r="F20" s="623">
        <f t="shared" si="14"/>
        <v>-883.7885772959371</v>
      </c>
      <c r="G20" s="617">
        <f t="shared" si="14"/>
        <v>257.28826373711712</v>
      </c>
      <c r="H20" s="623">
        <f>1.35*G_droit*1000+1.5*(Sn_droit*1000+0.6*'EC1 - CC'!$G14)</f>
        <v>870.90005339952313</v>
      </c>
      <c r="I20" s="616">
        <f>1.36*G_droit*1000+1.5*(0.5*Sn_droit*1000+'EC1 - CC'!$G20)</f>
        <v>788.06077934957591</v>
      </c>
      <c r="J20" s="616">
        <f>F20*1.5+0.9*G_droit*1000</f>
        <v>-1217.3437883479098</v>
      </c>
      <c r="K20" s="617">
        <f>G_droit*1000+Sa_droit*1000+0.6*G20</f>
        <v>981.16748837430146</v>
      </c>
      <c r="L20" s="616">
        <f>G_droit*1000+(Sn_droit*1000+0.6*G20)</f>
        <v>592.63771088812609</v>
      </c>
      <c r="M20" s="616">
        <f>G_droit*1000+G20+0.6*Sn_droit*1000</f>
        <v>568.39781647840641</v>
      </c>
      <c r="N20" s="617">
        <f>G_droit*1000+F20</f>
        <v>-763.41182441149738</v>
      </c>
      <c r="Q20" s="283" t="str">
        <f>C20</f>
        <v>Egout</v>
      </c>
      <c r="R20" s="627">
        <f>MIN('EC1-Vent'!$L$78:$L$79,'EC1-Vent'!$N$78:$N$79,'EC1-Vent'!$M$91:$N$91)</f>
        <v>-0.70000000000000007</v>
      </c>
      <c r="S20" s="628">
        <f>MAX('EC1-Vent'!$L$78:$L$79,'EC1-Vent'!$N$78:$N$79,'EC1-Vent'!$M$91:$N$91)</f>
        <v>0.36666666666666664</v>
      </c>
      <c r="T20" s="616">
        <f t="shared" si="15"/>
        <v>-491.18668531631459</v>
      </c>
      <c r="U20" s="616">
        <f t="shared" si="16"/>
        <v>257.28826373711712</v>
      </c>
      <c r="V20" s="623">
        <f>1.35*G_droit*1000+1.5*(Sn_droit*1000+0.6*'EC1 - CC'!$G14)</f>
        <v>870.90005339952313</v>
      </c>
      <c r="W20" s="616">
        <f>1.36*G_droit*1000+1.5*(0.5*Sn_droit*1000+'EC1 - CC'!$G20)</f>
        <v>788.06077934957591</v>
      </c>
      <c r="X20" s="616">
        <f>T20*1.5+0.9*G_droit*1000</f>
        <v>-628.44095037847615</v>
      </c>
      <c r="Y20" s="617">
        <f>G_droit*1000+Sa_droit*1000+0.6*U20</f>
        <v>981.16748837430146</v>
      </c>
      <c r="Z20" s="616">
        <f>G_droit*1000+(Sn_droit*1000+0.6*U20)</f>
        <v>592.63771088812609</v>
      </c>
      <c r="AA20" s="616">
        <f>G_droit*1000+U20+0.6*Sn_droit*1000</f>
        <v>568.39781647840641</v>
      </c>
      <c r="AB20" s="617">
        <f>G_droit*1000+T20</f>
        <v>-370.80993243187487</v>
      </c>
    </row>
    <row r="21" spans="1:28" x14ac:dyDescent="0.3">
      <c r="A21" s="811"/>
      <c r="C21" s="516" t="s">
        <v>223</v>
      </c>
      <c r="D21" s="604">
        <f>MIN('EC1-Vent'!$M$44:$M$45,'EC1-Vent'!$O$44:$O$45,'EC1-Vent'!$M$57:$N$57)</f>
        <v>-1.066460347122361</v>
      </c>
      <c r="E21" s="604">
        <f>MAX('EC1-Vent'!$M$44:$M$45,'EC1-Vent'!$O$44:$O$45,'EC1-Vent'!$M$57:$N$57)</f>
        <v>0.26666666666666666</v>
      </c>
      <c r="F21" s="623">
        <f t="shared" ref="F21" si="17">D21*Qpz</f>
        <v>-748.33017560616963</v>
      </c>
      <c r="G21" s="617">
        <f t="shared" ref="G21" si="18">E21*Qpz</f>
        <v>187.11873726335793</v>
      </c>
      <c r="H21" s="623">
        <f>1.35*G_droit*1000+1.5*(Sn_droit*1000+0.6*'EC1 - CC'!$G15)</f>
        <v>807.74747957313991</v>
      </c>
      <c r="I21" s="616">
        <f>1.36*G_droit*1000+1.5*(0.5*Sn_droit*1000+'EC1 - CC'!$G21)</f>
        <v>682.80648963893702</v>
      </c>
      <c r="J21" s="616">
        <f>F21*1.5+0.9*G_droit*1000</f>
        <v>-1014.1561858132587</v>
      </c>
      <c r="K21" s="617">
        <f>G_droit*1000+Sa_droit*1000+0.6*G21</f>
        <v>939.0657724900459</v>
      </c>
      <c r="L21" s="616">
        <f>G_droit*1000+(Sn_droit*1000+0.6*G21)</f>
        <v>550.53599500387054</v>
      </c>
      <c r="M21" s="616">
        <f>G_droit*1000+G21+0.6*Sn_droit*1000</f>
        <v>498.22829000464725</v>
      </c>
      <c r="N21" s="617">
        <f>G_droit*1000+F21</f>
        <v>-627.95342272172991</v>
      </c>
      <c r="Q21" s="283" t="str">
        <f>C21</f>
        <v>Faitage</v>
      </c>
      <c r="R21" s="627">
        <f>MIN('EC1-Vent'!$M$78:$M$79,'EC1-Vent'!$O$78:$O$79,'EC1-Vent'!$M$91:$N$91)</f>
        <v>-0.83333333333333337</v>
      </c>
      <c r="S21" s="628">
        <f>MAX('EC1-Vent'!$M$78:$M$79,'EC1-Vent'!$O$78:$O$79,'EC1-Vent'!$M$91:$N$91)</f>
        <v>0.26666666666666666</v>
      </c>
      <c r="T21" s="616">
        <f t="shared" ref="T21" si="19">R21*Qpz</f>
        <v>-584.74605394799357</v>
      </c>
      <c r="U21" s="616">
        <f t="shared" ref="U21" si="20">S21*Qpz</f>
        <v>187.11873726335793</v>
      </c>
      <c r="V21" s="623">
        <f>1.35*G_droit*1000+1.5*(Sn_droit*1000+0.6*'EC1 - CC'!$G15)</f>
        <v>807.74747957313991</v>
      </c>
      <c r="W21" s="616">
        <f>1.36*G_droit*1000+1.5*(0.5*Sn_droit*1000+'EC1 - CC'!$G21)</f>
        <v>682.80648963893702</v>
      </c>
      <c r="X21" s="616">
        <f>T21*1.5+0.9*G_droit*1000</f>
        <v>-768.7800033259947</v>
      </c>
      <c r="Y21" s="617">
        <f>G_droit*1000+Sa_droit*1000+0.6*U21</f>
        <v>939.0657724900459</v>
      </c>
      <c r="Z21" s="616">
        <f>G_droit*1000+(Sn_droit*1000+0.6*U21)</f>
        <v>550.53599500387054</v>
      </c>
      <c r="AA21" s="616">
        <f>G_droit*1000+U21+0.6*Sn_droit*1000</f>
        <v>498.22829000464725</v>
      </c>
      <c r="AB21" s="617">
        <f>G_droit*1000+T21</f>
        <v>-464.36930106355385</v>
      </c>
    </row>
    <row r="22" spans="1:28" x14ac:dyDescent="0.3">
      <c r="A22" s="811"/>
      <c r="C22" s="515" t="s">
        <v>234</v>
      </c>
      <c r="D22" s="618">
        <f>MIN('EC1-Vent'!$K$44:$K$45,'EC1-Vent'!$M$44:$M$45,'EC1-Vent'!$N$44:$N$45,'EC1-Vent'!$K$57,'EC1-Vent'!$M$57:$N$57)</f>
        <v>-1.6529619581535833</v>
      </c>
      <c r="E22" s="618">
        <f>MAX('EC1-Vent'!$K$44:$K$45,'EC1-Vent'!$M$44:$M$45,'EC1-Vent'!$N$44:$N$45,'EC1-Vent'!$K$57,'EC1-Vent'!$M$57:$N$57)</f>
        <v>0.36666666666666664</v>
      </c>
      <c r="F22" s="624">
        <f t="shared" si="14"/>
        <v>-1159.8755788277474</v>
      </c>
      <c r="G22" s="620">
        <f t="shared" si="14"/>
        <v>257.28826373711712</v>
      </c>
      <c r="H22" s="624">
        <f>1.35*G_droit*1000+1.5*(Sn_droit*1000+0.6*'EC1 - CC'!$G15)</f>
        <v>807.74747957313991</v>
      </c>
      <c r="I22" s="619">
        <f>1.36*G_droit*1000+1.5*(0.5*Sn_droit*1000+'EC1 - CC'!$G22)</f>
        <v>788.06077934957591</v>
      </c>
      <c r="J22" s="619">
        <f>F22*1.5+0.9*G_droit*1000</f>
        <v>-1631.4742906456252</v>
      </c>
      <c r="K22" s="620">
        <f>G_droit*1000+Sa_droit*1000+0.6*G22</f>
        <v>981.16748837430146</v>
      </c>
      <c r="L22" s="619">
        <f>G_droit*1000+(Sn_droit*1000+0.6*G22)</f>
        <v>592.63771088812609</v>
      </c>
      <c r="M22" s="619">
        <f>G_droit*1000+G22+0.6*Sn_droit*1000</f>
        <v>568.39781647840641</v>
      </c>
      <c r="N22" s="620">
        <f>G_droit*1000+F22</f>
        <v>-1039.4988259433078</v>
      </c>
      <c r="Q22" s="302" t="str">
        <f>C22</f>
        <v>Angle inf.</v>
      </c>
      <c r="R22" s="629">
        <f>MIN('EC1-Vent'!$K$78:$K$79,'EC1-Vent'!$M$78:$N$79,'EC1-Vent'!$K$91,'EC1-Vent'!$M$91:$N$91)</f>
        <v>-1.2333333333333334</v>
      </c>
      <c r="S22" s="630">
        <f>MAX('EC1-Vent'!$K$78:$K$79,'EC1-Vent'!$M$78:$N$79,'EC1-Vent'!$K$91,'EC1-Vent'!$M$91:$N$91)</f>
        <v>0.36666666666666664</v>
      </c>
      <c r="T22" s="619">
        <f t="shared" si="15"/>
        <v>-865.42415984303045</v>
      </c>
      <c r="U22" s="619">
        <f t="shared" si="16"/>
        <v>257.28826373711712</v>
      </c>
      <c r="V22" s="624">
        <f>1.35*G_droit*1000+1.5*(Sn_droit*1000+0.6*'EC1 - CC'!$G15)</f>
        <v>807.74747957313991</v>
      </c>
      <c r="W22" s="619">
        <f>1.36*G_droit*1000+1.5*(0.5*Sn_droit*1000+'EC1 - CC'!$G22)</f>
        <v>788.06077934957591</v>
      </c>
      <c r="X22" s="619">
        <f>T22*1.5+0.9*G_droit*1000</f>
        <v>-1189.7971621685499</v>
      </c>
      <c r="Y22" s="620">
        <f>G_droit*1000+Sa_droit*1000+0.6*U22</f>
        <v>981.16748837430146</v>
      </c>
      <c r="Z22" s="619">
        <f>G_droit*1000+(Sn_droit*1000+0.6*U22)</f>
        <v>592.63771088812609</v>
      </c>
      <c r="AA22" s="619">
        <f>G_droit*1000+U22+0.6*Sn_droit*1000</f>
        <v>568.39781647840641</v>
      </c>
      <c r="AB22" s="620">
        <f>G_droit*1000+T22</f>
        <v>-745.04740695859073</v>
      </c>
    </row>
    <row r="24" spans="1:28" x14ac:dyDescent="0.3">
      <c r="D24" s="14" t="s">
        <v>246</v>
      </c>
      <c r="E24" s="14" t="s">
        <v>245</v>
      </c>
      <c r="F24" s="14" t="s">
        <v>249</v>
      </c>
      <c r="G24" s="14" t="s">
        <v>248</v>
      </c>
      <c r="H24" s="612" t="s">
        <v>303</v>
      </c>
      <c r="I24" s="14" t="s">
        <v>302</v>
      </c>
      <c r="J24" s="612" t="s">
        <v>265</v>
      </c>
      <c r="K24" s="612" t="s">
        <v>472</v>
      </c>
      <c r="L24" s="612" t="s">
        <v>480</v>
      </c>
      <c r="M24" s="14" t="s">
        <v>481</v>
      </c>
      <c r="N24" s="612" t="s">
        <v>482</v>
      </c>
      <c r="R24" s="14" t="s">
        <v>246</v>
      </c>
      <c r="S24" s="14" t="s">
        <v>245</v>
      </c>
      <c r="T24" s="14" t="s">
        <v>249</v>
      </c>
      <c r="U24" s="14" t="s">
        <v>248</v>
      </c>
      <c r="V24" s="612" t="s">
        <v>303</v>
      </c>
      <c r="W24" s="14" t="s">
        <v>302</v>
      </c>
      <c r="X24" s="612" t="s">
        <v>265</v>
      </c>
      <c r="Y24" s="612" t="s">
        <v>472</v>
      </c>
      <c r="Z24" s="612" t="s">
        <v>480</v>
      </c>
      <c r="AA24" s="14" t="s">
        <v>481</v>
      </c>
      <c r="AB24" s="612" t="s">
        <v>482</v>
      </c>
    </row>
    <row r="25" spans="1:28" x14ac:dyDescent="0.3">
      <c r="A25" s="811" t="s">
        <v>532</v>
      </c>
      <c r="B25">
        <v>1</v>
      </c>
      <c r="C25" s="621" t="str">
        <f>C12</f>
        <v>Centre</v>
      </c>
      <c r="D25" s="613">
        <f>MIN('EC1-Vent'!$E$44:$E$45,'EC1-Vent'!$H$44:$H$45,'EC1-Vent'!$F$57:$G$57)</f>
        <v>-1.1231063818345972</v>
      </c>
      <c r="E25" s="613">
        <f>MAX('EC1-Vent'!$E$44:$E$45,'EC1-Vent'!$H$44:$H$45,'EC1-Vent'!$F$57:$G$57)</f>
        <v>0.26666666666666666</v>
      </c>
      <c r="F25" s="633">
        <f t="shared" ref="F25:F35" si="21">D25*Qpz</f>
        <v>-788.07842992990697</v>
      </c>
      <c r="G25" s="634">
        <f t="shared" ref="G25:G35" si="22">E25*Qpz</f>
        <v>187.11873726335793</v>
      </c>
      <c r="H25" s="622">
        <f t="shared" ref="H25:H35" si="23">1.35*G_paral*1000+1.5*(Sn_paral*1000)</f>
        <v>232.7009537945639</v>
      </c>
      <c r="I25" s="614">
        <f t="shared" ref="I25:I35" si="24">1.35*G_paral*1000+1.5*(0.5*Sn_paral*1000)</f>
        <v>145.9246264868811</v>
      </c>
      <c r="J25" s="614">
        <f t="shared" ref="J25:J35" si="25">G_paral*1000</f>
        <v>43.813554947554266</v>
      </c>
      <c r="K25" s="615">
        <f t="shared" ref="K25:K35" si="26">G_paral*1000+Sa_paral*1000</f>
        <v>300.92859882217004</v>
      </c>
      <c r="L25" s="614">
        <f t="shared" ref="L25:L35" si="27">G_paral*1000+(Sn_paral*1000)</f>
        <v>159.51532469113135</v>
      </c>
      <c r="M25" s="614">
        <f t="shared" ref="M25:M35" si="28">G_paral*1000+0.6*Sn_paral*1000</f>
        <v>113.23461679370051</v>
      </c>
      <c r="N25" s="615">
        <f t="shared" ref="N25:N35" si="29">G_paral*1000</f>
        <v>43.813554947554266</v>
      </c>
      <c r="Q25" s="155" t="str">
        <f t="shared" ref="Q25:Q30" si="30">C25</f>
        <v>Centre</v>
      </c>
      <c r="R25" s="625">
        <f>MIN('EC1-Vent'!$E$78:$E$79,'EC1-Vent'!$H$78:$H$79,'EC1-Vent'!$F$91:$G$91)</f>
        <v>-0.8666666666666667</v>
      </c>
      <c r="S25" s="626">
        <f>MAX('EC1-Vent'!$E$78:$E$79,'EC1-Vent'!$H$78:$H$79,'EC1-Vent'!$F$91:$G$91)</f>
        <v>0.26666666666666666</v>
      </c>
      <c r="T25" s="639">
        <f t="shared" ref="T25:T35" si="31">R25*Qpz</f>
        <v>-608.13589610591328</v>
      </c>
      <c r="U25" s="639">
        <f t="shared" ref="U25:U35" si="32">S25*Qpz</f>
        <v>187.11873726335793</v>
      </c>
      <c r="V25" s="622">
        <f t="shared" ref="V25:V35" si="33">1.35*G_paral*1000+1.5*(Sn_paral*1000)</f>
        <v>232.7009537945639</v>
      </c>
      <c r="W25" s="614">
        <f t="shared" ref="W25:W35" si="34">1.35*G_paral*1000+1.5*(0.5*Sn_paral*1000)</f>
        <v>145.9246264868811</v>
      </c>
      <c r="X25" s="614">
        <f t="shared" ref="X25:X35" si="35">G_paral*1000</f>
        <v>43.813554947554266</v>
      </c>
      <c r="Y25" s="615">
        <f t="shared" ref="Y25:Y35" si="36">G_paral*1000+Sa_paral*1000</f>
        <v>300.92859882217004</v>
      </c>
      <c r="Z25" s="614">
        <f t="shared" ref="Z25:Z35" si="37">G_paral*1000+(Sn_paral*1000)</f>
        <v>159.51532469113135</v>
      </c>
      <c r="AA25" s="614">
        <f t="shared" ref="AA25:AA35" si="38">G_paral*1000+0.6*Sn_paral*1000</f>
        <v>113.23461679370051</v>
      </c>
      <c r="AB25" s="615">
        <f t="shared" ref="AB25:AB35" si="39">G_paral*1000</f>
        <v>43.813554947554266</v>
      </c>
    </row>
    <row r="26" spans="1:28" x14ac:dyDescent="0.3">
      <c r="A26" s="811"/>
      <c r="B26">
        <v>2</v>
      </c>
      <c r="C26" s="516" t="s">
        <v>156</v>
      </c>
      <c r="D26" s="604">
        <f>MIN('EC1-Vent'!$E$44:$E$45,'EC1-Vent'!$H$44:$H$45,'EC1-Vent'!$E$57,'EC1-Vent'!$G$57)</f>
        <v>-2.162982590108014</v>
      </c>
      <c r="E26" s="604">
        <f>MAX('EC1-Vent'!$E$44:$E$45,'EC1-Vent'!$H$44:$H$45,'EC1-Vent'!$E$57,'EC1-Vent'!$G$57)</f>
        <v>0.26666666666666666</v>
      </c>
      <c r="F26" s="635">
        <f t="shared" si="21"/>
        <v>-1517.7546411886458</v>
      </c>
      <c r="G26" s="636">
        <f t="shared" si="22"/>
        <v>187.11873726335793</v>
      </c>
      <c r="H26" s="623">
        <f t="shared" si="23"/>
        <v>232.7009537945639</v>
      </c>
      <c r="I26" s="616">
        <f t="shared" si="24"/>
        <v>145.9246264868811</v>
      </c>
      <c r="J26" s="616">
        <f t="shared" si="25"/>
        <v>43.813554947554266</v>
      </c>
      <c r="K26" s="617">
        <f t="shared" si="26"/>
        <v>300.92859882217004</v>
      </c>
      <c r="L26" s="616">
        <f t="shared" si="27"/>
        <v>159.51532469113135</v>
      </c>
      <c r="M26" s="616">
        <f t="shared" si="28"/>
        <v>113.23461679370051</v>
      </c>
      <c r="N26" s="617">
        <f t="shared" si="29"/>
        <v>43.813554947554266</v>
      </c>
      <c r="Q26" s="283" t="str">
        <f t="shared" si="30"/>
        <v>Rive</v>
      </c>
      <c r="R26" s="627">
        <f>MIN('EC1-Vent'!$E$78:$E$79,'EC1-Vent'!$H$78:$H$79,'EC1-Vent'!$E$91,'EC1-Vent'!$G$91)</f>
        <v>-1.7666666666666666</v>
      </c>
      <c r="S26" s="628">
        <f>MAX('EC1-Vent'!$E$78:$E$79,'EC1-Vent'!$H$78:$H$79,'EC1-Vent'!$E$91,'EC1-Vent'!$G$91)</f>
        <v>0.26666666666666666</v>
      </c>
      <c r="T26" s="640">
        <f t="shared" si="31"/>
        <v>-1239.6616343697463</v>
      </c>
      <c r="U26" s="640">
        <f t="shared" si="32"/>
        <v>187.11873726335793</v>
      </c>
      <c r="V26" s="623">
        <f t="shared" si="33"/>
        <v>232.7009537945639</v>
      </c>
      <c r="W26" s="616">
        <f t="shared" si="34"/>
        <v>145.9246264868811</v>
      </c>
      <c r="X26" s="616">
        <f t="shared" si="35"/>
        <v>43.813554947554266</v>
      </c>
      <c r="Y26" s="617">
        <f t="shared" si="36"/>
        <v>300.92859882217004</v>
      </c>
      <c r="Z26" s="616">
        <f t="shared" si="37"/>
        <v>159.51532469113135</v>
      </c>
      <c r="AA26" s="616">
        <f t="shared" si="38"/>
        <v>113.23461679370051</v>
      </c>
      <c r="AB26" s="617">
        <f t="shared" si="39"/>
        <v>43.813554947554266</v>
      </c>
    </row>
    <row r="27" spans="1:28" x14ac:dyDescent="0.3">
      <c r="A27" s="811"/>
      <c r="B27">
        <v>3</v>
      </c>
      <c r="C27" s="516" t="s">
        <v>224</v>
      </c>
      <c r="D27" s="604">
        <f>MIN('EC1-Vent'!$F$57:$G$57,'EC1-Vent'!$D$44:$D$45,'EC1-Vent'!$H$44:$H$45)</f>
        <v>-1.2595048330936665</v>
      </c>
      <c r="E27" s="604">
        <f>MAX('EC1-Vent'!$F$57:$G$57,'EC1-Vent'!$D$44:$D$45,'EC1-Vent'!$H$44:$H$45)</f>
        <v>0.36666666666666664</v>
      </c>
      <c r="F27" s="635">
        <f t="shared" si="21"/>
        <v>-883.7885772959371</v>
      </c>
      <c r="G27" s="636">
        <f t="shared" si="22"/>
        <v>257.28826373711712</v>
      </c>
      <c r="H27" s="623">
        <f t="shared" si="23"/>
        <v>232.7009537945639</v>
      </c>
      <c r="I27" s="616">
        <f t="shared" si="24"/>
        <v>145.9246264868811</v>
      </c>
      <c r="J27" s="616">
        <f t="shared" si="25"/>
        <v>43.813554947554266</v>
      </c>
      <c r="K27" s="617">
        <f t="shared" si="26"/>
        <v>300.92859882217004</v>
      </c>
      <c r="L27" s="616">
        <f t="shared" si="27"/>
        <v>159.51532469113135</v>
      </c>
      <c r="M27" s="616">
        <f t="shared" si="28"/>
        <v>113.23461679370051</v>
      </c>
      <c r="N27" s="617">
        <f t="shared" si="29"/>
        <v>43.813554947554266</v>
      </c>
      <c r="Q27" s="283" t="str">
        <f t="shared" si="30"/>
        <v>Egout</v>
      </c>
      <c r="R27" s="627">
        <f>MIN('EC1-Vent'!$D$78:$D$79,'EC1-Vent'!$H$78:$H$79,'EC1-Vent'!$F$91:$G$91)</f>
        <v>-0.8666666666666667</v>
      </c>
      <c r="S27" s="628">
        <f>MAX('EC1-Vent'!$D$78:$D$79,'EC1-Vent'!$H$78:$H$79,'EC1-Vent'!$F$91:$G$91)</f>
        <v>0.36666666666666664</v>
      </c>
      <c r="T27" s="640">
        <f t="shared" si="31"/>
        <v>-608.13589610591328</v>
      </c>
      <c r="U27" s="640">
        <f t="shared" si="32"/>
        <v>257.28826373711712</v>
      </c>
      <c r="V27" s="623">
        <f t="shared" si="33"/>
        <v>232.7009537945639</v>
      </c>
      <c r="W27" s="616">
        <f t="shared" si="34"/>
        <v>145.9246264868811</v>
      </c>
      <c r="X27" s="616">
        <f t="shared" si="35"/>
        <v>43.813554947554266</v>
      </c>
      <c r="Y27" s="617">
        <f t="shared" si="36"/>
        <v>300.92859882217004</v>
      </c>
      <c r="Z27" s="616">
        <f t="shared" si="37"/>
        <v>159.51532469113135</v>
      </c>
      <c r="AA27" s="616">
        <f t="shared" si="38"/>
        <v>113.23461679370051</v>
      </c>
      <c r="AB27" s="617">
        <f t="shared" si="39"/>
        <v>43.813554947554266</v>
      </c>
    </row>
    <row r="28" spans="1:28" x14ac:dyDescent="0.3">
      <c r="A28" s="811"/>
      <c r="B28">
        <v>4</v>
      </c>
      <c r="C28" s="516" t="s">
        <v>223</v>
      </c>
      <c r="D28" s="604">
        <f>MIN('EC1-Vent'!$F$57:$G$57,'EC1-Vent'!$E$44:$E$45,'EC1-Vent'!$G$44:$G$45)</f>
        <v>-1.6229000622902914</v>
      </c>
      <c r="E28" s="604">
        <f>MAX('EC1-Vent'!$F$57:$G$57,'EC1-Vent'!$E$44:$E$45,'EC1-Vent'!$G$44:$G$45)</f>
        <v>0.26666666666666666</v>
      </c>
      <c r="F28" s="635">
        <f t="shared" si="21"/>
        <v>-1138.7812888514409</v>
      </c>
      <c r="G28" s="636">
        <f t="shared" si="22"/>
        <v>187.11873726335793</v>
      </c>
      <c r="H28" s="623">
        <f t="shared" si="23"/>
        <v>232.7009537945639</v>
      </c>
      <c r="I28" s="616">
        <f t="shared" si="24"/>
        <v>145.9246264868811</v>
      </c>
      <c r="J28" s="616">
        <f t="shared" si="25"/>
        <v>43.813554947554266</v>
      </c>
      <c r="K28" s="617">
        <f t="shared" si="26"/>
        <v>300.92859882217004</v>
      </c>
      <c r="L28" s="616">
        <f t="shared" si="27"/>
        <v>159.51532469113135</v>
      </c>
      <c r="M28" s="616">
        <f t="shared" si="28"/>
        <v>113.23461679370051</v>
      </c>
      <c r="N28" s="617">
        <f t="shared" si="29"/>
        <v>43.813554947554266</v>
      </c>
      <c r="Q28" s="283" t="str">
        <f t="shared" si="30"/>
        <v>Faitage</v>
      </c>
      <c r="R28" s="627">
        <f>MIN('EC1-Vent'!$F$91:$G$91,'EC1-Vent'!$E$78:$E$79,'EC1-Vent'!$G$78:$G$79)</f>
        <v>-1.1333333333333333</v>
      </c>
      <c r="S28" s="628">
        <f>MAX('EC1-Vent'!$F$91:$G$91,'EC1-Vent'!$E$78:$E$79,'EC1-Vent'!$G$78:$G$79)</f>
        <v>0.26666666666666666</v>
      </c>
      <c r="T28" s="640">
        <f t="shared" si="31"/>
        <v>-795.25463336927112</v>
      </c>
      <c r="U28" s="640">
        <f t="shared" si="32"/>
        <v>187.11873726335793</v>
      </c>
      <c r="V28" s="623">
        <f t="shared" si="33"/>
        <v>232.7009537945639</v>
      </c>
      <c r="W28" s="616">
        <f t="shared" si="34"/>
        <v>145.9246264868811</v>
      </c>
      <c r="X28" s="616">
        <f t="shared" si="35"/>
        <v>43.813554947554266</v>
      </c>
      <c r="Y28" s="617">
        <f t="shared" si="36"/>
        <v>300.92859882217004</v>
      </c>
      <c r="Z28" s="616">
        <f t="shared" si="37"/>
        <v>159.51532469113135</v>
      </c>
      <c r="AA28" s="616">
        <f t="shared" si="38"/>
        <v>113.23461679370051</v>
      </c>
      <c r="AB28" s="617">
        <f t="shared" si="39"/>
        <v>43.813554947554266</v>
      </c>
    </row>
    <row r="29" spans="1:28" x14ac:dyDescent="0.3">
      <c r="A29" s="811"/>
      <c r="B29">
        <v>5</v>
      </c>
      <c r="C29" s="516" t="s">
        <v>234</v>
      </c>
      <c r="D29" s="604">
        <f>MIN('EC1-Vent'!$C$44:$C$45,'EC1-Vent'!$E$44:$E$45,'EC1-Vent'!$H$44:$H$45,'EC1-Vent'!$D$57,'EC1-Vent'!$F$57,'EC1-Vent'!$G$57)</f>
        <v>-2.0361921317147638</v>
      </c>
      <c r="E29" s="604">
        <f>MAX('EC1-Vent'!$C$44:$C$45,'EC1-Vent'!$E$44:$E$45,'EC1-Vent'!$H$44:$H$45,'EC1-Vent'!$D$57,'EC1-Vent'!$F$57,'EC1-Vent'!$G$57)</f>
        <v>0.36666666666666664</v>
      </c>
      <c r="F29" s="635">
        <f t="shared" si="21"/>
        <v>-1428.7863769201933</v>
      </c>
      <c r="G29" s="636">
        <f t="shared" si="22"/>
        <v>257.28826373711712</v>
      </c>
      <c r="H29" s="623">
        <f t="shared" si="23"/>
        <v>232.7009537945639</v>
      </c>
      <c r="I29" s="616">
        <f t="shared" si="24"/>
        <v>145.9246264868811</v>
      </c>
      <c r="J29" s="616">
        <f t="shared" si="25"/>
        <v>43.813554947554266</v>
      </c>
      <c r="K29" s="617">
        <f t="shared" si="26"/>
        <v>300.92859882217004</v>
      </c>
      <c r="L29" s="616">
        <f t="shared" si="27"/>
        <v>159.51532469113135</v>
      </c>
      <c r="M29" s="616">
        <f t="shared" si="28"/>
        <v>113.23461679370051</v>
      </c>
      <c r="N29" s="617">
        <f t="shared" si="29"/>
        <v>43.813554947554266</v>
      </c>
      <c r="Q29" s="283" t="str">
        <f t="shared" si="30"/>
        <v>Angle inf.</v>
      </c>
      <c r="R29" s="627">
        <f>MIN('EC1-Vent'!$D$91,'EC1-Vent'!$F$91:$G$91,'EC1-Vent'!$C$78:$C$79,'EC1-Vent'!$E$78:$E$79,'EC1-Vent'!$H$78:$H$79)</f>
        <v>-1.5</v>
      </c>
      <c r="S29" s="628">
        <f>MAX('EC1-Vent'!$D$91,'EC1-Vent'!$F$91:$G$91,'EC1-Vent'!$C$78:$C$79,'EC1-Vent'!$E$78:$E$79,'EC1-Vent'!$H$78:$H$79)</f>
        <v>0.36666666666666664</v>
      </c>
      <c r="T29" s="640">
        <f t="shared" si="31"/>
        <v>-1052.5428971063884</v>
      </c>
      <c r="U29" s="640">
        <f t="shared" si="32"/>
        <v>257.28826373711712</v>
      </c>
      <c r="V29" s="623">
        <f t="shared" si="33"/>
        <v>232.7009537945639</v>
      </c>
      <c r="W29" s="616">
        <f t="shared" si="34"/>
        <v>145.9246264868811</v>
      </c>
      <c r="X29" s="616">
        <f t="shared" si="35"/>
        <v>43.813554947554266</v>
      </c>
      <c r="Y29" s="617">
        <f t="shared" si="36"/>
        <v>300.92859882217004</v>
      </c>
      <c r="Z29" s="616">
        <f t="shared" si="37"/>
        <v>159.51532469113135</v>
      </c>
      <c r="AA29" s="616">
        <f t="shared" si="38"/>
        <v>113.23461679370051</v>
      </c>
      <c r="AB29" s="617">
        <f t="shared" si="39"/>
        <v>43.813554947554266</v>
      </c>
    </row>
    <row r="30" spans="1:28" x14ac:dyDescent="0.3">
      <c r="A30" s="811"/>
      <c r="B30">
        <v>6</v>
      </c>
      <c r="C30" s="515" t="s">
        <v>235</v>
      </c>
      <c r="D30" s="618">
        <f>MIN('EC1-Vent'!$E$44:$F$45,'EC1-Vent'!$H$44:$H$45,'EC1-Vent'!$C$57,'EC1-Vent'!$F$57:$G$57)</f>
        <v>-2.7196286248202499</v>
      </c>
      <c r="E30" s="618">
        <f>MAX('EC1-Vent'!$E$44:$F$45,'EC1-Vent'!$H$44:$H$45,'EC1-Vent'!$C$57,'EC1-Vent'!$F$57:$G$57)</f>
        <v>0.26666666666666666</v>
      </c>
      <c r="F30" s="637">
        <f t="shared" si="21"/>
        <v>-1908.350527881179</v>
      </c>
      <c r="G30" s="638">
        <f t="shared" si="22"/>
        <v>187.11873726335793</v>
      </c>
      <c r="H30" s="624">
        <f t="shared" si="23"/>
        <v>232.7009537945639</v>
      </c>
      <c r="I30" s="619">
        <f t="shared" si="24"/>
        <v>145.9246264868811</v>
      </c>
      <c r="J30" s="619">
        <f t="shared" si="25"/>
        <v>43.813554947554266</v>
      </c>
      <c r="K30" s="620">
        <f t="shared" si="26"/>
        <v>300.92859882217004</v>
      </c>
      <c r="L30" s="619">
        <f t="shared" si="27"/>
        <v>159.51532469113135</v>
      </c>
      <c r="M30" s="619">
        <f t="shared" si="28"/>
        <v>113.23461679370051</v>
      </c>
      <c r="N30" s="620">
        <f t="shared" si="29"/>
        <v>43.813554947554266</v>
      </c>
      <c r="Q30" s="302" t="str">
        <f t="shared" si="30"/>
        <v>Angles Sup.</v>
      </c>
      <c r="R30" s="629">
        <f>MIN('EC1-Vent'!$E$78:$E$79,'EC1-Vent'!$F$78:$F$79,'EC1-Vent'!$H$78:$H$79,'EC1-Vent'!$C$91,'EC1-Vent'!$F$91:$G$91)</f>
        <v>-2.2999999999999998</v>
      </c>
      <c r="S30" s="630">
        <f>MAX('EC1-Vent'!$E$78:$E$79,'EC1-Vent'!$F$78:$F$79,'EC1-Vent'!$H$78:$H$79,'EC1-Vent'!$C$91,'EC1-Vent'!$F$91:$G$91)</f>
        <v>0.26666666666666666</v>
      </c>
      <c r="T30" s="641">
        <f t="shared" si="31"/>
        <v>-1613.8991088964619</v>
      </c>
      <c r="U30" s="641">
        <f t="shared" si="32"/>
        <v>187.11873726335793</v>
      </c>
      <c r="V30" s="624">
        <f t="shared" si="33"/>
        <v>232.7009537945639</v>
      </c>
      <c r="W30" s="619">
        <f t="shared" si="34"/>
        <v>145.9246264868811</v>
      </c>
      <c r="X30" s="619">
        <f t="shared" si="35"/>
        <v>43.813554947554266</v>
      </c>
      <c r="Y30" s="620">
        <f t="shared" si="36"/>
        <v>300.92859882217004</v>
      </c>
      <c r="Z30" s="619">
        <f t="shared" si="37"/>
        <v>159.51532469113135</v>
      </c>
      <c r="AA30" s="619">
        <f t="shared" si="38"/>
        <v>113.23461679370051</v>
      </c>
      <c r="AB30" s="620">
        <f t="shared" si="39"/>
        <v>43.813554947554266</v>
      </c>
    </row>
    <row r="31" spans="1:28" x14ac:dyDescent="0.3">
      <c r="A31" s="811"/>
      <c r="C31" s="621" t="s">
        <v>155</v>
      </c>
      <c r="D31" s="613">
        <f>MIN('EC1-Vent'!$M$44:$N$45,'EC1-Vent'!$M$57:$N$57)</f>
        <v>-1.0396698887291109</v>
      </c>
      <c r="E31" s="613">
        <f>MAX('EC1-Vent'!$M$44:$N$45,'EC1-Vent'!$M$57:$N$57)</f>
        <v>0.26666666666666666</v>
      </c>
      <c r="F31" s="633">
        <f t="shared" si="21"/>
        <v>-729.53143781147651</v>
      </c>
      <c r="G31" s="634">
        <f t="shared" si="22"/>
        <v>187.11873726335793</v>
      </c>
      <c r="H31" s="622">
        <f t="shared" si="23"/>
        <v>232.7009537945639</v>
      </c>
      <c r="I31" s="614">
        <f t="shared" si="24"/>
        <v>145.9246264868811</v>
      </c>
      <c r="J31" s="614">
        <f t="shared" si="25"/>
        <v>43.813554947554266</v>
      </c>
      <c r="K31" s="615">
        <f t="shared" si="26"/>
        <v>300.92859882217004</v>
      </c>
      <c r="L31" s="614">
        <f t="shared" si="27"/>
        <v>159.51532469113135</v>
      </c>
      <c r="M31" s="614">
        <f t="shared" si="28"/>
        <v>113.23461679370051</v>
      </c>
      <c r="N31" s="615">
        <f t="shared" si="29"/>
        <v>43.813554947554266</v>
      </c>
      <c r="Q31" s="155" t="str">
        <f>C31</f>
        <v>Centre</v>
      </c>
      <c r="R31" s="625">
        <f>MIN('EC1-Vent'!$M$78:$N$79,'EC1-Vent'!$M$91:$N$91)</f>
        <v>-0.66666666666666663</v>
      </c>
      <c r="S31" s="626">
        <f>MAX('EC1-Vent'!$M$78:$N$79,'EC1-Vent'!$M$91:$N$91)</f>
        <v>0.26666666666666666</v>
      </c>
      <c r="T31" s="639">
        <f t="shared" si="31"/>
        <v>-467.79684315839478</v>
      </c>
      <c r="U31" s="639">
        <f t="shared" si="32"/>
        <v>187.11873726335793</v>
      </c>
      <c r="V31" s="622">
        <f t="shared" si="33"/>
        <v>232.7009537945639</v>
      </c>
      <c r="W31" s="614">
        <f t="shared" si="34"/>
        <v>145.9246264868811</v>
      </c>
      <c r="X31" s="614">
        <f t="shared" si="35"/>
        <v>43.813554947554266</v>
      </c>
      <c r="Y31" s="615">
        <f t="shared" si="36"/>
        <v>300.92859882217004</v>
      </c>
      <c r="Z31" s="614">
        <f t="shared" si="37"/>
        <v>159.51532469113135</v>
      </c>
      <c r="AA31" s="614">
        <f t="shared" si="38"/>
        <v>113.23461679370051</v>
      </c>
      <c r="AB31" s="615">
        <f t="shared" si="39"/>
        <v>43.813554947554266</v>
      </c>
    </row>
    <row r="32" spans="1:28" x14ac:dyDescent="0.3">
      <c r="A32" s="811"/>
      <c r="C32" s="516" t="s">
        <v>156</v>
      </c>
      <c r="D32" s="604">
        <f>MIN('EC1-Vent'!$M$44:$O$45,'EC1-Vent'!$L$57,'EC1-Vent'!$N$57)</f>
        <v>-1.7995873609113886</v>
      </c>
      <c r="E32" s="604">
        <f>MAX('EC1-Vent'!$M$44:$O$45,'EC1-Vent'!$L$57,'EC1-Vent'!$N$57)</f>
        <v>0.26666666666666666</v>
      </c>
      <c r="F32" s="635">
        <f t="shared" si="21"/>
        <v>-1262.7619296331418</v>
      </c>
      <c r="G32" s="636">
        <f t="shared" si="22"/>
        <v>187.11873726335793</v>
      </c>
      <c r="H32" s="623">
        <f t="shared" si="23"/>
        <v>232.7009537945639</v>
      </c>
      <c r="I32" s="616">
        <f t="shared" si="24"/>
        <v>145.9246264868811</v>
      </c>
      <c r="J32" s="616">
        <f t="shared" si="25"/>
        <v>43.813554947554266</v>
      </c>
      <c r="K32" s="617">
        <f t="shared" si="26"/>
        <v>300.92859882217004</v>
      </c>
      <c r="L32" s="616">
        <f t="shared" si="27"/>
        <v>159.51532469113135</v>
      </c>
      <c r="M32" s="616">
        <f t="shared" si="28"/>
        <v>113.23461679370051</v>
      </c>
      <c r="N32" s="617">
        <f t="shared" si="29"/>
        <v>43.813554947554266</v>
      </c>
      <c r="Q32" s="283" t="str">
        <f>C32</f>
        <v>Rive</v>
      </c>
      <c r="R32" s="627">
        <f>MIN('EC1-Vent'!$M$79:$O91,'EC1-Vent'!$L$91,'EC1-Vent'!$N$91)</f>
        <v>-1.3333333333333333</v>
      </c>
      <c r="S32" s="628">
        <f>MAX('EC1-Vent'!$M$79:$O91,'EC1-Vent'!$L$91,'EC1-Vent'!$N$91)</f>
        <v>0.26666666666666666</v>
      </c>
      <c r="T32" s="640">
        <f t="shared" si="31"/>
        <v>-935.59368631678956</v>
      </c>
      <c r="U32" s="640">
        <f t="shared" si="32"/>
        <v>187.11873726335793</v>
      </c>
      <c r="V32" s="623">
        <f t="shared" si="33"/>
        <v>232.7009537945639</v>
      </c>
      <c r="W32" s="616">
        <f t="shared" si="34"/>
        <v>145.9246264868811</v>
      </c>
      <c r="X32" s="616">
        <f t="shared" si="35"/>
        <v>43.813554947554266</v>
      </c>
      <c r="Y32" s="617">
        <f t="shared" si="36"/>
        <v>300.92859882217004</v>
      </c>
      <c r="Z32" s="616">
        <f t="shared" si="37"/>
        <v>159.51532469113135</v>
      </c>
      <c r="AA32" s="616">
        <f t="shared" si="38"/>
        <v>113.23461679370051</v>
      </c>
      <c r="AB32" s="617">
        <f t="shared" si="39"/>
        <v>43.813554947554266</v>
      </c>
    </row>
    <row r="33" spans="1:28" x14ac:dyDescent="0.3">
      <c r="A33" s="811"/>
      <c r="C33" s="516" t="s">
        <v>224</v>
      </c>
      <c r="D33" s="604">
        <f>MIN('EC1-Vent'!$L$44:$L$45,'EC1-Vent'!$N$44:$N$45,'EC1-Vent'!$M$57:$N$57)</f>
        <v>-1.2595048330936665</v>
      </c>
      <c r="E33" s="604">
        <f>MAX('EC1-Vent'!$L$44:$L$45,'EC1-Vent'!$N$44:$N$45,'EC1-Vent'!$M$57:$N$57)</f>
        <v>0.36666666666666664</v>
      </c>
      <c r="F33" s="635">
        <f t="shared" si="21"/>
        <v>-883.7885772959371</v>
      </c>
      <c r="G33" s="636">
        <f t="shared" si="22"/>
        <v>257.28826373711712</v>
      </c>
      <c r="H33" s="623">
        <f t="shared" si="23"/>
        <v>232.7009537945639</v>
      </c>
      <c r="I33" s="616">
        <f t="shared" si="24"/>
        <v>145.9246264868811</v>
      </c>
      <c r="J33" s="616">
        <f t="shared" si="25"/>
        <v>43.813554947554266</v>
      </c>
      <c r="K33" s="617">
        <f t="shared" si="26"/>
        <v>300.92859882217004</v>
      </c>
      <c r="L33" s="616">
        <f t="shared" si="27"/>
        <v>159.51532469113135</v>
      </c>
      <c r="M33" s="616">
        <f t="shared" si="28"/>
        <v>113.23461679370051</v>
      </c>
      <c r="N33" s="617">
        <f t="shared" si="29"/>
        <v>43.813554947554266</v>
      </c>
      <c r="Q33" s="283" t="str">
        <f>C33</f>
        <v>Egout</v>
      </c>
      <c r="R33" s="627">
        <f>MIN('EC1-Vent'!$L$78:$L$79,'EC1-Vent'!$N$78:$N$79,'EC1-Vent'!$M$91:$N$91)</f>
        <v>-0.70000000000000007</v>
      </c>
      <c r="S33" s="628">
        <f>MAX('EC1-Vent'!$L$78:$L$79,'EC1-Vent'!$N$78:$N$79,'EC1-Vent'!$M$91:$N$91)</f>
        <v>0.36666666666666664</v>
      </c>
      <c r="T33" s="640">
        <f t="shared" si="31"/>
        <v>-491.18668531631459</v>
      </c>
      <c r="U33" s="640">
        <f t="shared" si="32"/>
        <v>257.28826373711712</v>
      </c>
      <c r="V33" s="623">
        <f t="shared" si="33"/>
        <v>232.7009537945639</v>
      </c>
      <c r="W33" s="616">
        <f t="shared" si="34"/>
        <v>145.9246264868811</v>
      </c>
      <c r="X33" s="616">
        <f t="shared" si="35"/>
        <v>43.813554947554266</v>
      </c>
      <c r="Y33" s="617">
        <f t="shared" si="36"/>
        <v>300.92859882217004</v>
      </c>
      <c r="Z33" s="616">
        <f t="shared" si="37"/>
        <v>159.51532469113135</v>
      </c>
      <c r="AA33" s="616">
        <f t="shared" si="38"/>
        <v>113.23461679370051</v>
      </c>
      <c r="AB33" s="617">
        <f t="shared" si="39"/>
        <v>43.813554947554266</v>
      </c>
    </row>
    <row r="34" spans="1:28" x14ac:dyDescent="0.3">
      <c r="A34" s="811"/>
      <c r="C34" s="516" t="s">
        <v>223</v>
      </c>
      <c r="D34" s="604">
        <f>MIN('EC1-Vent'!$M$44:$M$45,'EC1-Vent'!$O$44:$O$45,'EC1-Vent'!$M$57:$N$57)</f>
        <v>-1.066460347122361</v>
      </c>
      <c r="E34" s="604">
        <f>MAX('EC1-Vent'!$M$44:$M$45,'EC1-Vent'!$O$44:$O$45,'EC1-Vent'!$M$57:$N$57)</f>
        <v>0.26666666666666666</v>
      </c>
      <c r="F34" s="635">
        <f t="shared" si="21"/>
        <v>-748.33017560616963</v>
      </c>
      <c r="G34" s="636">
        <f t="shared" si="22"/>
        <v>187.11873726335793</v>
      </c>
      <c r="H34" s="623">
        <f t="shared" si="23"/>
        <v>232.7009537945639</v>
      </c>
      <c r="I34" s="616">
        <f t="shared" si="24"/>
        <v>145.9246264868811</v>
      </c>
      <c r="J34" s="616">
        <f t="shared" si="25"/>
        <v>43.813554947554266</v>
      </c>
      <c r="K34" s="617">
        <f t="shared" si="26"/>
        <v>300.92859882217004</v>
      </c>
      <c r="L34" s="616">
        <f t="shared" si="27"/>
        <v>159.51532469113135</v>
      </c>
      <c r="M34" s="616">
        <f t="shared" si="28"/>
        <v>113.23461679370051</v>
      </c>
      <c r="N34" s="617">
        <f t="shared" si="29"/>
        <v>43.813554947554266</v>
      </c>
      <c r="Q34" s="283" t="str">
        <f>C34</f>
        <v>Faitage</v>
      </c>
      <c r="R34" s="627">
        <f>MIN('EC1-Vent'!$M$78:$M$79,'EC1-Vent'!$O$78:$O$79,'EC1-Vent'!$M$91:$N$91)</f>
        <v>-0.83333333333333337</v>
      </c>
      <c r="S34" s="628">
        <f>MAX('EC1-Vent'!$M$78:$M$79,'EC1-Vent'!$O$78:$O$79,'EC1-Vent'!$M$91:$N$91)</f>
        <v>0.26666666666666666</v>
      </c>
      <c r="T34" s="640">
        <f t="shared" si="31"/>
        <v>-584.74605394799357</v>
      </c>
      <c r="U34" s="640">
        <f t="shared" si="32"/>
        <v>187.11873726335793</v>
      </c>
      <c r="V34" s="623">
        <f t="shared" si="33"/>
        <v>232.7009537945639</v>
      </c>
      <c r="W34" s="616">
        <f t="shared" si="34"/>
        <v>145.9246264868811</v>
      </c>
      <c r="X34" s="616">
        <f t="shared" si="35"/>
        <v>43.813554947554266</v>
      </c>
      <c r="Y34" s="617">
        <f t="shared" si="36"/>
        <v>300.92859882217004</v>
      </c>
      <c r="Z34" s="616">
        <f t="shared" si="37"/>
        <v>159.51532469113135</v>
      </c>
      <c r="AA34" s="616">
        <f t="shared" si="38"/>
        <v>113.23461679370051</v>
      </c>
      <c r="AB34" s="617">
        <f t="shared" si="39"/>
        <v>43.813554947554266</v>
      </c>
    </row>
    <row r="35" spans="1:28" x14ac:dyDescent="0.3">
      <c r="A35" s="811"/>
      <c r="C35" s="515" t="s">
        <v>234</v>
      </c>
      <c r="D35" s="618">
        <f>MIN('EC1-Vent'!$K$44:$K$45,'EC1-Vent'!$M$44:$M$45,'EC1-Vent'!$N$44:$N$45,'EC1-Vent'!$K$57,'EC1-Vent'!$M$57:$N$57)</f>
        <v>-1.6529619581535833</v>
      </c>
      <c r="E35" s="618">
        <f>MAX('EC1-Vent'!$K$44:$K$45,'EC1-Vent'!$M$44:$M$45,'EC1-Vent'!$N$44:$N$45,'EC1-Vent'!$K$57,'EC1-Vent'!$M$57:$N$57)</f>
        <v>0.36666666666666664</v>
      </c>
      <c r="F35" s="637">
        <f t="shared" si="21"/>
        <v>-1159.8755788277474</v>
      </c>
      <c r="G35" s="638">
        <f t="shared" si="22"/>
        <v>257.28826373711712</v>
      </c>
      <c r="H35" s="624">
        <f t="shared" si="23"/>
        <v>232.7009537945639</v>
      </c>
      <c r="I35" s="619">
        <f t="shared" si="24"/>
        <v>145.9246264868811</v>
      </c>
      <c r="J35" s="619">
        <f t="shared" si="25"/>
        <v>43.813554947554266</v>
      </c>
      <c r="K35" s="620">
        <f t="shared" si="26"/>
        <v>300.92859882217004</v>
      </c>
      <c r="L35" s="619">
        <f t="shared" si="27"/>
        <v>159.51532469113135</v>
      </c>
      <c r="M35" s="619">
        <f t="shared" si="28"/>
        <v>113.23461679370051</v>
      </c>
      <c r="N35" s="620">
        <f t="shared" si="29"/>
        <v>43.813554947554266</v>
      </c>
      <c r="Q35" s="302" t="str">
        <f>C35</f>
        <v>Angle inf.</v>
      </c>
      <c r="R35" s="629">
        <f>MIN('EC1-Vent'!$K$78:$K$79,'EC1-Vent'!$M$78:$N$79,'EC1-Vent'!$K$91,'EC1-Vent'!$M$91:$N$91)</f>
        <v>-1.2333333333333334</v>
      </c>
      <c r="S35" s="630">
        <f>MAX('EC1-Vent'!$K$78:$K$79,'EC1-Vent'!$M$78:$N$79,'EC1-Vent'!$K$91,'EC1-Vent'!$M$91:$N$91)</f>
        <v>0.36666666666666664</v>
      </c>
      <c r="T35" s="641">
        <f t="shared" si="31"/>
        <v>-865.42415984303045</v>
      </c>
      <c r="U35" s="641">
        <f t="shared" si="32"/>
        <v>257.28826373711712</v>
      </c>
      <c r="V35" s="624">
        <f t="shared" si="33"/>
        <v>232.7009537945639</v>
      </c>
      <c r="W35" s="619">
        <f t="shared" si="34"/>
        <v>145.9246264868811</v>
      </c>
      <c r="X35" s="619">
        <f t="shared" si="35"/>
        <v>43.813554947554266</v>
      </c>
      <c r="Y35" s="620">
        <f t="shared" si="36"/>
        <v>300.92859882217004</v>
      </c>
      <c r="Z35" s="619">
        <f t="shared" si="37"/>
        <v>159.51532469113135</v>
      </c>
      <c r="AA35" s="619">
        <f t="shared" si="38"/>
        <v>113.23461679370051</v>
      </c>
      <c r="AB35" s="620">
        <f t="shared" si="39"/>
        <v>43.813554947554266</v>
      </c>
    </row>
    <row r="36" spans="1:28" x14ac:dyDescent="0.3">
      <c r="C36" s="23"/>
      <c r="D36" s="269"/>
      <c r="J36">
        <f>mod_haut/2*J55/1000000</f>
        <v>1.5858000000000001</v>
      </c>
    </row>
    <row r="37" spans="1:28" ht="18" thickBot="1" x14ac:dyDescent="0.4">
      <c r="C37" s="408" t="s">
        <v>513</v>
      </c>
      <c r="D37" t="str">
        <f>_xlfn.CONCAT(D38,D39,D40)</f>
        <v>ModELU_Upperp</v>
      </c>
      <c r="E37" t="str">
        <f t="shared" ref="E37:L37" si="40">_xlfn.CONCAT(E38,E39,E40)</f>
        <v>ModELU_Downperp</v>
      </c>
      <c r="F37" t="str">
        <f t="shared" si="40"/>
        <v>ModELU_Downparal</v>
      </c>
      <c r="G37" t="str">
        <f t="shared" si="40"/>
        <v>SystELU_Upperp</v>
      </c>
      <c r="H37" t="str">
        <f t="shared" si="40"/>
        <v>SystELU_Downperp</v>
      </c>
      <c r="I37" t="str">
        <f t="shared" si="40"/>
        <v>SystELU_Downparal</v>
      </c>
      <c r="J37" t="str">
        <f t="shared" si="40"/>
        <v>SystELS_Upperp</v>
      </c>
      <c r="K37" t="str">
        <f t="shared" si="40"/>
        <v>SystELS_Downperp</v>
      </c>
      <c r="L37" t="str">
        <f t="shared" si="40"/>
        <v>SystELS_Downparal</v>
      </c>
    </row>
    <row r="38" spans="1:28" ht="15" thickTop="1" x14ac:dyDescent="0.3">
      <c r="A38" t="s">
        <v>505</v>
      </c>
      <c r="D38" s="155" t="str">
        <f>$A$38</f>
        <v>Mod</v>
      </c>
      <c r="E38" s="128" t="str">
        <f t="shared" ref="E38:F38" si="41">$A$38</f>
        <v>Mod</v>
      </c>
      <c r="F38" s="166" t="str">
        <f t="shared" si="41"/>
        <v>Mod</v>
      </c>
      <c r="G38" s="155" t="str">
        <f>$A$39</f>
        <v>Syst</v>
      </c>
      <c r="H38" s="128" t="str">
        <f t="shared" ref="H38:L38" si="42">$A$39</f>
        <v>Syst</v>
      </c>
      <c r="I38" s="128" t="str">
        <f t="shared" si="42"/>
        <v>Syst</v>
      </c>
      <c r="J38" s="128" t="str">
        <f t="shared" si="42"/>
        <v>Syst</v>
      </c>
      <c r="K38" s="128" t="str">
        <f t="shared" si="42"/>
        <v>Syst</v>
      </c>
      <c r="L38" s="166" t="str">
        <f t="shared" si="42"/>
        <v>Syst</v>
      </c>
    </row>
    <row r="39" spans="1:28" x14ac:dyDescent="0.3">
      <c r="A39" t="s">
        <v>512</v>
      </c>
      <c r="D39" s="657" t="str">
        <f>A40</f>
        <v>ELU_Up</v>
      </c>
      <c r="E39" s="503" t="str">
        <f>A41</f>
        <v>ELU_Down</v>
      </c>
      <c r="F39" s="652" t="str">
        <f>A41</f>
        <v>ELU_Down</v>
      </c>
      <c r="G39" s="657" t="str">
        <f>A40</f>
        <v>ELU_Up</v>
      </c>
      <c r="H39" s="503" t="str">
        <f>A41</f>
        <v>ELU_Down</v>
      </c>
      <c r="I39" s="503" t="str">
        <f>A41</f>
        <v>ELU_Down</v>
      </c>
      <c r="J39" s="461" t="str">
        <f>A42</f>
        <v>ELS_Up</v>
      </c>
      <c r="K39" s="662" t="str">
        <f>A43</f>
        <v>ELS_Down</v>
      </c>
      <c r="L39" s="663" t="str">
        <f>A43</f>
        <v>ELS_Down</v>
      </c>
    </row>
    <row r="40" spans="1:28" x14ac:dyDescent="0.3">
      <c r="A40" t="s">
        <v>509</v>
      </c>
      <c r="D40" s="658" t="str">
        <f>A44</f>
        <v>perp</v>
      </c>
      <c r="E40" s="653" t="str">
        <f>A44</f>
        <v>perp</v>
      </c>
      <c r="F40" s="654" t="str">
        <f>A45</f>
        <v>paral</v>
      </c>
      <c r="G40" s="658" t="str">
        <f>A44</f>
        <v>perp</v>
      </c>
      <c r="H40" s="653" t="str">
        <f>A44</f>
        <v>perp</v>
      </c>
      <c r="I40" s="653" t="str">
        <f>A45</f>
        <v>paral</v>
      </c>
      <c r="J40" s="661" t="str">
        <f>A44</f>
        <v>perp</v>
      </c>
      <c r="K40" s="664" t="str">
        <f>A44</f>
        <v>perp</v>
      </c>
      <c r="L40" s="665" t="str">
        <f>A45</f>
        <v>paral</v>
      </c>
    </row>
    <row r="41" spans="1:28" x14ac:dyDescent="0.3">
      <c r="A41" t="s">
        <v>508</v>
      </c>
      <c r="C41" s="155" t="s">
        <v>155</v>
      </c>
      <c r="D41" s="668">
        <f>MIN($H12:$K12)</f>
        <v>-1073.7785672988646</v>
      </c>
      <c r="E41" s="669">
        <f>MAX($H12:$K12)</f>
        <v>939.0657724900459</v>
      </c>
      <c r="F41" s="677">
        <f>MAX($H25:$K25)</f>
        <v>300.92859882217004</v>
      </c>
      <c r="G41" s="668">
        <f>MIN($V12:$Y12)</f>
        <v>-803.86476656287425</v>
      </c>
      <c r="H41" s="669">
        <f>MAX($V12:$Y12)</f>
        <v>939.0657724900459</v>
      </c>
      <c r="I41" s="669">
        <f>MAX($V25:$Y25)</f>
        <v>300.92859882217004</v>
      </c>
      <c r="J41" s="670">
        <f>MIN($Z12:$AB12)</f>
        <v>-487.75914322147355</v>
      </c>
      <c r="K41" s="671">
        <f>MAX($Z12:$AB12)</f>
        <v>550.53599500387054</v>
      </c>
      <c r="L41" s="672">
        <f>MAX($Z25:$AB25)</f>
        <v>159.51532469113135</v>
      </c>
    </row>
    <row r="42" spans="1:28" x14ac:dyDescent="0.3">
      <c r="A42" t="s">
        <v>510</v>
      </c>
      <c r="C42" s="283" t="s">
        <v>156</v>
      </c>
      <c r="D42" s="659">
        <f t="shared" ref="D42:D51" si="43">MIN($H13:$K13)</f>
        <v>-2168.292884186973</v>
      </c>
      <c r="E42" s="655">
        <f t="shared" ref="E42:E51" si="44">MAX($H13:$K13)</f>
        <v>939.0657724900459</v>
      </c>
      <c r="F42" s="678">
        <f t="shared" ref="F42:F51" si="45">MAX($H26:$K26)</f>
        <v>300.92859882217004</v>
      </c>
      <c r="G42" s="659">
        <f t="shared" ref="G42:G51" si="46">MIN($V13:$Y13)</f>
        <v>-1751.1533739586237</v>
      </c>
      <c r="H42" s="655">
        <f t="shared" ref="H42:H51" si="47">MAX($V13:$Y13)</f>
        <v>939.0657724900459</v>
      </c>
      <c r="I42" s="655">
        <f t="shared" ref="I42:I51" si="48">MAX($V26:$Y26)</f>
        <v>300.92859882217004</v>
      </c>
      <c r="J42" s="666">
        <f t="shared" ref="J42:J51" si="49">MIN($Z13:$AB13)</f>
        <v>-1119.2848814853066</v>
      </c>
      <c r="K42" s="667">
        <f t="shared" ref="K42:K51" si="50">MAX($Z13:$AB13)</f>
        <v>550.53599500387054</v>
      </c>
      <c r="L42" s="673">
        <f t="shared" ref="L42:L51" si="51">MAX($Z26:$AB26)</f>
        <v>159.51532469113135</v>
      </c>
    </row>
    <row r="43" spans="1:28" x14ac:dyDescent="0.3">
      <c r="A43" t="s">
        <v>511</v>
      </c>
      <c r="C43" s="283" t="s">
        <v>224</v>
      </c>
      <c r="D43" s="659">
        <f t="shared" si="43"/>
        <v>-1217.3437883479098</v>
      </c>
      <c r="E43" s="655">
        <f t="shared" si="44"/>
        <v>981.16748837430146</v>
      </c>
      <c r="F43" s="678">
        <f t="shared" si="45"/>
        <v>300.92859882217004</v>
      </c>
      <c r="G43" s="659">
        <f t="shared" si="46"/>
        <v>-803.86476656287425</v>
      </c>
      <c r="H43" s="655">
        <f t="shared" si="47"/>
        <v>981.16748837430146</v>
      </c>
      <c r="I43" s="655">
        <f t="shared" si="48"/>
        <v>300.92859882217004</v>
      </c>
      <c r="J43" s="666">
        <f t="shared" si="49"/>
        <v>-487.75914322147355</v>
      </c>
      <c r="K43" s="667">
        <f t="shared" si="50"/>
        <v>592.63771088812609</v>
      </c>
      <c r="L43" s="673">
        <f t="shared" si="51"/>
        <v>159.51532469113135</v>
      </c>
    </row>
    <row r="44" spans="1:28" x14ac:dyDescent="0.3">
      <c r="A44" t="s">
        <v>506</v>
      </c>
      <c r="C44" s="283" t="s">
        <v>223</v>
      </c>
      <c r="D44" s="659">
        <f t="shared" si="43"/>
        <v>-1599.8328556811655</v>
      </c>
      <c r="E44" s="655">
        <f t="shared" si="44"/>
        <v>939.0657724900459</v>
      </c>
      <c r="F44" s="678">
        <f t="shared" si="45"/>
        <v>300.92859882217004</v>
      </c>
      <c r="G44" s="659">
        <f t="shared" si="46"/>
        <v>-1084.5428724579108</v>
      </c>
      <c r="H44" s="655">
        <f t="shared" si="47"/>
        <v>939.0657724900459</v>
      </c>
      <c r="I44" s="655">
        <f t="shared" si="48"/>
        <v>300.92859882217004</v>
      </c>
      <c r="J44" s="666">
        <f t="shared" si="49"/>
        <v>-674.87788048483139</v>
      </c>
      <c r="K44" s="667">
        <f t="shared" si="50"/>
        <v>550.53599500387054</v>
      </c>
      <c r="L44" s="673">
        <f t="shared" si="51"/>
        <v>159.51532469113135</v>
      </c>
    </row>
    <row r="45" spans="1:28" x14ac:dyDescent="0.3">
      <c r="A45" t="s">
        <v>507</v>
      </c>
      <c r="C45" s="283" t="s">
        <v>234</v>
      </c>
      <c r="D45" s="659">
        <f t="shared" si="43"/>
        <v>-2034.8404877842943</v>
      </c>
      <c r="E45" s="655">
        <f t="shared" si="44"/>
        <v>981.16748837430146</v>
      </c>
      <c r="F45" s="678">
        <f t="shared" si="45"/>
        <v>300.92859882217004</v>
      </c>
      <c r="G45" s="659">
        <f t="shared" si="46"/>
        <v>-1470.4752680635868</v>
      </c>
      <c r="H45" s="655">
        <f t="shared" si="47"/>
        <v>981.16748837430146</v>
      </c>
      <c r="I45" s="655">
        <f t="shared" si="48"/>
        <v>300.92859882217004</v>
      </c>
      <c r="J45" s="666">
        <f t="shared" si="49"/>
        <v>-932.16614422194868</v>
      </c>
      <c r="K45" s="667">
        <f t="shared" si="50"/>
        <v>592.63771088812609</v>
      </c>
      <c r="L45" s="673">
        <f t="shared" si="51"/>
        <v>159.51532469113135</v>
      </c>
    </row>
    <row r="46" spans="1:28" x14ac:dyDescent="0.3">
      <c r="C46" s="302" t="s">
        <v>235</v>
      </c>
      <c r="D46" s="660">
        <f t="shared" si="43"/>
        <v>-2754.1867142257729</v>
      </c>
      <c r="E46" s="656">
        <f t="shared" si="44"/>
        <v>939.0657724900459</v>
      </c>
      <c r="F46" s="679">
        <f t="shared" si="45"/>
        <v>300.92859882217004</v>
      </c>
      <c r="G46" s="660">
        <f t="shared" si="46"/>
        <v>-2312.5095857486972</v>
      </c>
      <c r="H46" s="656">
        <f t="shared" si="47"/>
        <v>939.0657724900459</v>
      </c>
      <c r="I46" s="656">
        <f t="shared" si="48"/>
        <v>300.92859882217004</v>
      </c>
      <c r="J46" s="674">
        <f t="shared" si="49"/>
        <v>-1493.5223560120223</v>
      </c>
      <c r="K46" s="675">
        <f t="shared" si="50"/>
        <v>550.53599500387054</v>
      </c>
      <c r="L46" s="676">
        <f t="shared" si="51"/>
        <v>159.51532469113135</v>
      </c>
    </row>
    <row r="47" spans="1:28" x14ac:dyDescent="0.3">
      <c r="C47" s="155" t="s">
        <v>155</v>
      </c>
      <c r="D47" s="659">
        <f t="shared" si="43"/>
        <v>-985.95807912121916</v>
      </c>
      <c r="E47" s="655">
        <f t="shared" si="44"/>
        <v>939.0657724900459</v>
      </c>
      <c r="F47" s="678">
        <f t="shared" si="45"/>
        <v>300.92859882217004</v>
      </c>
      <c r="G47" s="659">
        <f t="shared" si="46"/>
        <v>-593.35618714159648</v>
      </c>
      <c r="H47" s="655">
        <f t="shared" si="47"/>
        <v>939.0657724900459</v>
      </c>
      <c r="I47" s="655">
        <f t="shared" si="48"/>
        <v>300.92859882217004</v>
      </c>
      <c r="J47" s="666">
        <f t="shared" si="49"/>
        <v>-347.42009027395505</v>
      </c>
      <c r="K47" s="667">
        <f t="shared" si="50"/>
        <v>550.53599500387054</v>
      </c>
      <c r="L47" s="673">
        <f t="shared" si="51"/>
        <v>159.51532469113135</v>
      </c>
    </row>
    <row r="48" spans="1:28" x14ac:dyDescent="0.3">
      <c r="C48" s="283" t="s">
        <v>156</v>
      </c>
      <c r="D48" s="659">
        <f t="shared" si="43"/>
        <v>-1785.8038168537169</v>
      </c>
      <c r="E48" s="655">
        <f t="shared" si="44"/>
        <v>939.0657724900459</v>
      </c>
      <c r="F48" s="678">
        <f t="shared" si="45"/>
        <v>300.92859882217004</v>
      </c>
      <c r="G48" s="659">
        <f t="shared" si="46"/>
        <v>-1295.0514518791886</v>
      </c>
      <c r="H48" s="655">
        <f t="shared" si="47"/>
        <v>939.0657724900459</v>
      </c>
      <c r="I48" s="655">
        <f t="shared" si="48"/>
        <v>300.92859882217004</v>
      </c>
      <c r="J48" s="666">
        <f t="shared" si="49"/>
        <v>-815.21693343234983</v>
      </c>
      <c r="K48" s="667">
        <f t="shared" si="50"/>
        <v>550.53599500387054</v>
      </c>
      <c r="L48" s="673">
        <f t="shared" si="51"/>
        <v>159.51532469113135</v>
      </c>
    </row>
    <row r="49" spans="3:29" x14ac:dyDescent="0.3">
      <c r="C49" s="283" t="s">
        <v>224</v>
      </c>
      <c r="D49" s="659">
        <f t="shared" si="43"/>
        <v>-1217.3437883479098</v>
      </c>
      <c r="E49" s="655">
        <f t="shared" si="44"/>
        <v>981.16748837430146</v>
      </c>
      <c r="F49" s="678">
        <f t="shared" si="45"/>
        <v>300.92859882217004</v>
      </c>
      <c r="G49" s="659">
        <f t="shared" si="46"/>
        <v>-628.44095037847615</v>
      </c>
      <c r="H49" s="655">
        <f t="shared" si="47"/>
        <v>981.16748837430146</v>
      </c>
      <c r="I49" s="655">
        <f t="shared" si="48"/>
        <v>300.92859882217004</v>
      </c>
      <c r="J49" s="666">
        <f t="shared" si="49"/>
        <v>-370.80993243187487</v>
      </c>
      <c r="K49" s="667">
        <f t="shared" si="50"/>
        <v>592.63771088812609</v>
      </c>
      <c r="L49" s="673">
        <f t="shared" si="51"/>
        <v>159.51532469113135</v>
      </c>
    </row>
    <row r="50" spans="3:29" x14ac:dyDescent="0.3">
      <c r="C50" s="283" t="s">
        <v>223</v>
      </c>
      <c r="D50" s="659">
        <f t="shared" si="43"/>
        <v>-1014.1561858132587</v>
      </c>
      <c r="E50" s="655">
        <f t="shared" si="44"/>
        <v>939.0657724900459</v>
      </c>
      <c r="F50" s="678">
        <f t="shared" si="45"/>
        <v>300.92859882217004</v>
      </c>
      <c r="G50" s="659">
        <f t="shared" si="46"/>
        <v>-768.7800033259947</v>
      </c>
      <c r="H50" s="655">
        <f t="shared" si="47"/>
        <v>939.0657724900459</v>
      </c>
      <c r="I50" s="655">
        <f t="shared" si="48"/>
        <v>300.92859882217004</v>
      </c>
      <c r="J50" s="666">
        <f t="shared" si="49"/>
        <v>-464.36930106355385</v>
      </c>
      <c r="K50" s="667">
        <f t="shared" si="50"/>
        <v>550.53599500387054</v>
      </c>
      <c r="L50" s="673">
        <f t="shared" si="51"/>
        <v>159.51532469113135</v>
      </c>
    </row>
    <row r="51" spans="3:29" x14ac:dyDescent="0.3">
      <c r="C51" s="302" t="s">
        <v>234</v>
      </c>
      <c r="D51" s="660">
        <f t="shared" si="43"/>
        <v>-1631.4742906456252</v>
      </c>
      <c r="E51" s="656">
        <f t="shared" si="44"/>
        <v>981.16748837430146</v>
      </c>
      <c r="F51" s="679">
        <f t="shared" si="45"/>
        <v>300.92859882217004</v>
      </c>
      <c r="G51" s="660">
        <f t="shared" si="46"/>
        <v>-1189.7971621685499</v>
      </c>
      <c r="H51" s="656">
        <f t="shared" si="47"/>
        <v>981.16748837430146</v>
      </c>
      <c r="I51" s="656">
        <f t="shared" si="48"/>
        <v>300.92859882217004</v>
      </c>
      <c r="J51" s="674">
        <f t="shared" si="49"/>
        <v>-745.04740695859073</v>
      </c>
      <c r="K51" s="675">
        <f t="shared" si="50"/>
        <v>592.63771088812609</v>
      </c>
      <c r="L51" s="676">
        <f t="shared" si="51"/>
        <v>159.51532469113135</v>
      </c>
    </row>
    <row r="53" spans="3:29" ht="18" thickBot="1" x14ac:dyDescent="0.4">
      <c r="C53" s="408" t="s">
        <v>502</v>
      </c>
      <c r="D53" s="408"/>
    </row>
    <row r="54" spans="3:29" ht="15" thickTop="1" x14ac:dyDescent="0.3">
      <c r="C54" s="269"/>
      <c r="D54">
        <f>ROUNDDOWN(entr_croch_max/Entr_chev,0)</f>
        <v>3</v>
      </c>
      <c r="E54">
        <f>IF(D54&gt;=1,D54-1,0)</f>
        <v>2</v>
      </c>
      <c r="F54">
        <f t="shared" ref="F54:I54" si="52">IF(E54&gt;=1,E54-1,0)</f>
        <v>1</v>
      </c>
      <c r="G54">
        <f t="shared" si="52"/>
        <v>0</v>
      </c>
      <c r="H54">
        <f t="shared" si="52"/>
        <v>0</v>
      </c>
      <c r="I54">
        <f t="shared" si="52"/>
        <v>0</v>
      </c>
      <c r="J54">
        <f>ROUNDDOWN(entr_croch_max/Entr_chev,0)</f>
        <v>3</v>
      </c>
      <c r="K54">
        <f t="shared" ref="K54:O54" si="53">IF(J54&gt;=1,J54-1,0)</f>
        <v>2</v>
      </c>
      <c r="L54">
        <f t="shared" si="53"/>
        <v>1</v>
      </c>
      <c r="M54">
        <f t="shared" si="53"/>
        <v>0</v>
      </c>
      <c r="N54">
        <f t="shared" si="53"/>
        <v>0</v>
      </c>
      <c r="O54">
        <f t="shared" si="53"/>
        <v>0</v>
      </c>
    </row>
    <row r="55" spans="3:29" ht="15" thickBot="1" x14ac:dyDescent="0.35">
      <c r="D55">
        <f t="shared" ref="D55:M55" si="54">D54*Entr_chev</f>
        <v>1800</v>
      </c>
      <c r="E55">
        <f t="shared" si="54"/>
        <v>1200</v>
      </c>
      <c r="F55">
        <f t="shared" si="54"/>
        <v>600</v>
      </c>
      <c r="G55">
        <f t="shared" si="54"/>
        <v>0</v>
      </c>
      <c r="H55">
        <f t="shared" si="54"/>
        <v>0</v>
      </c>
      <c r="I55">
        <f t="shared" si="54"/>
        <v>0</v>
      </c>
      <c r="J55">
        <f t="shared" si="54"/>
        <v>1800</v>
      </c>
      <c r="K55">
        <f t="shared" si="54"/>
        <v>1200</v>
      </c>
      <c r="L55">
        <f t="shared" si="54"/>
        <v>600</v>
      </c>
      <c r="M55">
        <f t="shared" si="54"/>
        <v>0</v>
      </c>
      <c r="N55">
        <f t="shared" ref="N55:O55" si="55">N54*Entr_chev</f>
        <v>0</v>
      </c>
      <c r="O55">
        <f t="shared" si="55"/>
        <v>0</v>
      </c>
      <c r="P55">
        <f>P57</f>
        <v>2</v>
      </c>
      <c r="Q55">
        <f t="shared" ref="Q55:Y55" si="56">Q57</f>
        <v>3</v>
      </c>
      <c r="R55">
        <f>R57</f>
        <v>2</v>
      </c>
      <c r="S55">
        <f>S57</f>
        <v>3</v>
      </c>
      <c r="T55">
        <f t="shared" si="56"/>
        <v>0</v>
      </c>
      <c r="U55">
        <f t="shared" si="56"/>
        <v>0</v>
      </c>
      <c r="V55">
        <f t="shared" si="56"/>
        <v>2</v>
      </c>
      <c r="W55">
        <f t="shared" si="56"/>
        <v>3</v>
      </c>
      <c r="X55">
        <f t="shared" si="56"/>
        <v>2</v>
      </c>
      <c r="Y55">
        <f t="shared" si="56"/>
        <v>3</v>
      </c>
    </row>
    <row r="56" spans="3:29" ht="18" x14ac:dyDescent="0.35">
      <c r="C56" s="280" t="s">
        <v>254</v>
      </c>
      <c r="D56" s="453" t="s">
        <v>68</v>
      </c>
      <c r="E56" s="454" t="s">
        <v>68</v>
      </c>
      <c r="F56" s="454" t="s">
        <v>68</v>
      </c>
      <c r="G56" s="454" t="s">
        <v>68</v>
      </c>
      <c r="H56" s="454" t="s">
        <v>68</v>
      </c>
      <c r="I56" s="454" t="s">
        <v>68</v>
      </c>
      <c r="J56" s="453" t="s">
        <v>96</v>
      </c>
      <c r="K56" s="454" t="s">
        <v>96</v>
      </c>
      <c r="L56" s="454" t="s">
        <v>96</v>
      </c>
      <c r="M56" s="454" t="s">
        <v>96</v>
      </c>
      <c r="N56" s="454" t="s">
        <v>96</v>
      </c>
      <c r="O56" s="454" t="s">
        <v>96</v>
      </c>
      <c r="P56" s="453" t="s">
        <v>469</v>
      </c>
      <c r="Q56" s="454" t="s">
        <v>469</v>
      </c>
      <c r="R56" s="453" t="s">
        <v>247</v>
      </c>
      <c r="S56" s="455" t="s">
        <v>247</v>
      </c>
      <c r="T56" s="454" t="s">
        <v>1</v>
      </c>
      <c r="U56" s="454" t="s">
        <v>1</v>
      </c>
      <c r="V56" s="453" t="s">
        <v>519</v>
      </c>
      <c r="W56" s="456" t="s">
        <v>519</v>
      </c>
      <c r="X56" s="456" t="s">
        <v>520</v>
      </c>
      <c r="Y56" s="457" t="s">
        <v>520</v>
      </c>
    </row>
    <row r="57" spans="3:29" x14ac:dyDescent="0.3">
      <c r="C57" s="281" t="s">
        <v>255</v>
      </c>
      <c r="D57" s="281" t="s">
        <v>250</v>
      </c>
      <c r="E57" t="s">
        <v>252</v>
      </c>
      <c r="F57" t="s">
        <v>251</v>
      </c>
      <c r="G57" t="s">
        <v>300</v>
      </c>
      <c r="H57" t="s">
        <v>361</v>
      </c>
      <c r="I57" t="s">
        <v>362</v>
      </c>
      <c r="J57" s="281" t="s">
        <v>250</v>
      </c>
      <c r="K57" t="s">
        <v>252</v>
      </c>
      <c r="L57" t="s">
        <v>251</v>
      </c>
      <c r="M57" t="s">
        <v>300</v>
      </c>
      <c r="N57" t="s">
        <v>361</v>
      </c>
      <c r="O57" t="s">
        <v>362</v>
      </c>
      <c r="P57" s="281">
        <v>2</v>
      </c>
      <c r="Q57">
        <v>3</v>
      </c>
      <c r="R57" s="281">
        <f>IF(LEFT(Choix_croch,4)="Tire","",2)</f>
        <v>2</v>
      </c>
      <c r="S57" s="282">
        <f>IF(LEFT(Choix_croch,4)="Tire","",3)</f>
        <v>3</v>
      </c>
      <c r="V57" s="281">
        <v>2</v>
      </c>
      <c r="W57">
        <v>3</v>
      </c>
      <c r="X57">
        <v>2</v>
      </c>
      <c r="Y57" s="282">
        <v>3</v>
      </c>
    </row>
    <row r="58" spans="3:29" ht="15" thickBot="1" x14ac:dyDescent="0.35">
      <c r="C58" s="281" t="s">
        <v>253</v>
      </c>
      <c r="D58" s="294">
        <f t="shared" ref="D58:I58" si="57">RAIL_cont_max*RAIL_Inertia*4/RAIL_fibre/D$55/RAIL_Sécu/mod_haut/mod_larg*1000000*2</f>
        <v>1667.464354612797</v>
      </c>
      <c r="E58" s="294">
        <f t="shared" si="57"/>
        <v>2501.196531919195</v>
      </c>
      <c r="F58" s="294">
        <f t="shared" si="57"/>
        <v>5002.3930638383899</v>
      </c>
      <c r="G58" t="e">
        <f t="shared" si="57"/>
        <v>#DIV/0!</v>
      </c>
      <c r="H58" t="e">
        <f t="shared" si="57"/>
        <v>#DIV/0!</v>
      </c>
      <c r="I58" t="e">
        <f t="shared" si="57"/>
        <v>#DIV/0!</v>
      </c>
      <c r="J58" s="294">
        <f>VLOOKUP(Choix_croch,Articl_resist,11,FALSE)/(mod_haut/2*J55/1000000)</f>
        <v>2027.3678900239624</v>
      </c>
      <c r="K58" s="279">
        <f t="shared" ref="K58:O58" si="58">VLOOKUP(Choix_croch,Articl_resist,11,FALSE)/(mod_haut/2*K55/1000000)</f>
        <v>3041.0518350359444</v>
      </c>
      <c r="L58" s="279">
        <f t="shared" si="58"/>
        <v>6082.1036700718887</v>
      </c>
      <c r="M58" s="279" t="e">
        <f t="shared" si="58"/>
        <v>#DIV/0!</v>
      </c>
      <c r="N58" s="279" t="e">
        <f t="shared" si="58"/>
        <v>#DIV/0!</v>
      </c>
      <c r="O58" s="279" t="e">
        <f t="shared" si="58"/>
        <v>#DIV/0!</v>
      </c>
      <c r="P58" s="294">
        <f>VLOOKUP(Choix_croch,Articl_resist,11,FALSE)/(mod_haut/P57*mod_larg/1000000)</f>
        <v>3218.0442698793058</v>
      </c>
      <c r="Q58" s="279">
        <f>VLOOKUP(Choix_croch,Articl_resist,11,FALSE)/(mod_haut/Q57*mod_larg/1000000)</f>
        <v>4827.0664048189592</v>
      </c>
      <c r="R58" s="728">
        <f>VLOOKUP(Logistique!$I$35,Articl_resist,11,FALSE)*POWER(R57,0.9)*0.9/1.3</f>
        <v>5547.3835370663783</v>
      </c>
      <c r="S58" s="729">
        <f>VLOOKUP(Logistique!$I$35,Articl_resist,11,FALSE)*POWER(S57,0.9)*0.9/1.3</f>
        <v>7990.4332243860235</v>
      </c>
      <c r="T58" s="279">
        <f>Pmodule_asc</f>
        <v>2400</v>
      </c>
      <c r="U58" s="279">
        <f>Pmodule_desc</f>
        <v>5400</v>
      </c>
      <c r="V58" s="294">
        <f>VLOOKUP(Logistique!$I$22,Articl_resist,11,FALSE)/(mod_haut*mod_larg/V57/1000000)</f>
        <v>3095.9287485961718</v>
      </c>
      <c r="W58" s="279">
        <f>VLOOKUP(Logistique!$I$22,Articl_resist,11,FALSE)/(mod_haut*mod_larg/W57/1000000)</f>
        <v>4643.8931228942583</v>
      </c>
      <c r="X58" s="279">
        <f>VLOOKUP(Logistique!$I$21,Articl_resist,11,FALSE)/(mod_haut*mod_larg/X57/2/1000000)</f>
        <v>6208.8735944203218</v>
      </c>
      <c r="Y58" s="279">
        <f>VLOOKUP(Logistique!$I$21,Articl_resist,11,FALSE)/(mod_haut*mod_larg/Y57/2/1000000)</f>
        <v>9313.3103916304826</v>
      </c>
      <c r="Z58" s="595" t="s">
        <v>309</v>
      </c>
      <c r="AA58" s="323" t="s">
        <v>266</v>
      </c>
      <c r="AB58" s="323" t="s">
        <v>267</v>
      </c>
      <c r="AC58" s="596" t="s">
        <v>469</v>
      </c>
    </row>
    <row r="59" spans="3:29" x14ac:dyDescent="0.3">
      <c r="C59" s="280" t="str">
        <f t="shared" ref="C59:C69" si="59">C12</f>
        <v>Centre</v>
      </c>
      <c r="D59" s="295">
        <f t="shared" ref="D59:Q59" si="60">MAX($V12,$W12,ABS($X12),$Y12)/D$58</f>
        <v>0.56316992317842196</v>
      </c>
      <c r="E59" s="284">
        <f t="shared" si="60"/>
        <v>0.37544661545228142</v>
      </c>
      <c r="F59" s="284">
        <f t="shared" si="60"/>
        <v>0.18772330772614071</v>
      </c>
      <c r="G59" s="284" t="e">
        <f t="shared" si="60"/>
        <v>#DIV/0!</v>
      </c>
      <c r="H59" s="284" t="e">
        <f t="shared" si="60"/>
        <v>#DIV/0!</v>
      </c>
      <c r="I59" s="284" t="e">
        <f t="shared" si="60"/>
        <v>#DIV/0!</v>
      </c>
      <c r="J59" s="295">
        <f t="shared" si="60"/>
        <v>0.46319455739182425</v>
      </c>
      <c r="K59" s="284">
        <f t="shared" si="60"/>
        <v>0.30879637159454942</v>
      </c>
      <c r="L59" s="284">
        <f t="shared" si="60"/>
        <v>0.15439818579727471</v>
      </c>
      <c r="M59" s="284" t="e">
        <f t="shared" si="60"/>
        <v>#DIV/0!</v>
      </c>
      <c r="N59" s="284" t="e">
        <f t="shared" si="60"/>
        <v>#DIV/0!</v>
      </c>
      <c r="O59" s="284" t="e">
        <f t="shared" si="60"/>
        <v>#DIV/0!</v>
      </c>
      <c r="P59" s="295">
        <f t="shared" si="60"/>
        <v>0.29181257115684922</v>
      </c>
      <c r="Q59" s="284">
        <f t="shared" si="60"/>
        <v>0.19454171410456614</v>
      </c>
      <c r="R59" s="295">
        <f t="shared" ref="R59:S69" si="61">MAX($V12,$W12,ABS($X12),$Y12)/(R$58/(mod_haut/2*$Z59/1000000))</f>
        <v>0.26844556394278674</v>
      </c>
      <c r="S59" s="285">
        <f t="shared" si="61"/>
        <v>0.18636918176975831</v>
      </c>
      <c r="T59" s="284"/>
      <c r="U59" s="284"/>
      <c r="V59" s="295">
        <f t="shared" ref="V59:Y69" si="62">MAX($V12,$W12,ABS($X12),$Y12)/V$58</f>
        <v>0.30332279866449091</v>
      </c>
      <c r="W59" s="284">
        <f t="shared" si="62"/>
        <v>0.20221519910966057</v>
      </c>
      <c r="X59" s="284">
        <f t="shared" si="62"/>
        <v>0.15124575467826379</v>
      </c>
      <c r="Y59" s="284">
        <f t="shared" si="62"/>
        <v>0.10083050311884252</v>
      </c>
      <c r="Z59" s="593">
        <f t="shared" ref="Z59:Z64" si="63">IFERROR(IF(AND(D59&lt;1,J59&lt;1),$D$55,IF(AND(E59&lt;1,K59&lt;1),$E$55,IF(AND(F59&lt;1,L59&lt;1),$F$55,IF(AND(G59&lt;1,M59&lt;1),$G$55,IF(AND(H59&lt;1,N59&lt;1),$H$55,IF(AND(I59&lt;1,O59&lt;1),$I$55,Surcharge)))))),Surcharge)</f>
        <v>1800</v>
      </c>
      <c r="AA59" s="128">
        <f t="shared" ref="AA59:AA69" si="64">IF(AND(V59&lt;1,X59&lt;1),$V$57,IF(AND(W59&lt;1,Y59&lt;1),$W$57,"Surcharge"))</f>
        <v>2</v>
      </c>
      <c r="AB59" s="128">
        <f>IFERROR(IF(R59&lt;1,$R$57,IF(S59&lt;1,$S$57,"surcharge")),"")</f>
        <v>2</v>
      </c>
      <c r="AC59" s="597">
        <f>IF(P59&lt;1,$P$57,IF(Q59&lt;1,$Q$57,"surcharge"))</f>
        <v>2</v>
      </c>
    </row>
    <row r="60" spans="3:29" x14ac:dyDescent="0.3">
      <c r="C60" s="281" t="str">
        <f t="shared" si="59"/>
        <v>Rive</v>
      </c>
      <c r="D60" s="296">
        <f t="shared" ref="D60:Q60" si="65">MAX($V13,$W13,ABS($X13),$Y13)/D$58</f>
        <v>1.0501893903244848</v>
      </c>
      <c r="E60" s="286">
        <f t="shared" si="65"/>
        <v>0.70012626021632329</v>
      </c>
      <c r="F60" s="286">
        <f t="shared" si="65"/>
        <v>0.35006313010816165</v>
      </c>
      <c r="G60" s="286" t="e">
        <f t="shared" si="65"/>
        <v>#DIV/0!</v>
      </c>
      <c r="H60" s="286" t="e">
        <f t="shared" si="65"/>
        <v>#DIV/0!</v>
      </c>
      <c r="I60" s="286" t="e">
        <f t="shared" si="65"/>
        <v>#DIV/0!</v>
      </c>
      <c r="J60" s="296">
        <f t="shared" si="65"/>
        <v>0.86375708255788042</v>
      </c>
      <c r="K60" s="286">
        <f t="shared" si="65"/>
        <v>0.57583805503858687</v>
      </c>
      <c r="L60" s="286">
        <f t="shared" si="65"/>
        <v>0.28791902751929344</v>
      </c>
      <c r="M60" s="286" t="e">
        <f t="shared" si="65"/>
        <v>#DIV/0!</v>
      </c>
      <c r="N60" s="286" t="e">
        <f t="shared" si="65"/>
        <v>#DIV/0!</v>
      </c>
      <c r="O60" s="286" t="e">
        <f t="shared" si="65"/>
        <v>#DIV/0!</v>
      </c>
      <c r="P60" s="296">
        <f t="shared" si="65"/>
        <v>0.54416696201146464</v>
      </c>
      <c r="Q60" s="286">
        <f t="shared" si="65"/>
        <v>0.36277797467430972</v>
      </c>
      <c r="R60" s="296">
        <f t="shared" si="61"/>
        <v>0.33372838466620419</v>
      </c>
      <c r="S60" s="287">
        <f t="shared" si="61"/>
        <v>0.2316919865244616</v>
      </c>
      <c r="T60" s="286"/>
      <c r="U60" s="286"/>
      <c r="V60" s="296">
        <f t="shared" si="62"/>
        <v>0.56563103228802425</v>
      </c>
      <c r="W60" s="286">
        <f t="shared" si="62"/>
        <v>0.37708735485868278</v>
      </c>
      <c r="X60" s="286">
        <f t="shared" si="62"/>
        <v>0.28204042928693518</v>
      </c>
      <c r="Y60" s="286">
        <f t="shared" si="62"/>
        <v>0.18802695285795676</v>
      </c>
      <c r="Z60" s="593">
        <f t="shared" si="63"/>
        <v>1200</v>
      </c>
      <c r="AA60">
        <f t="shared" si="64"/>
        <v>2</v>
      </c>
      <c r="AB60">
        <f t="shared" ref="AB60:AB69" si="66">IFERROR(IF(R60&lt;1,$R$57,IF(S60&lt;1,$S$57,"surcharge")),"")</f>
        <v>2</v>
      </c>
      <c r="AC60" s="598">
        <f t="shared" ref="AC60:AC69" si="67">IF(P60&lt;1,$P$57,IF(Q60&lt;1,$Q$57,"surcharge"))</f>
        <v>2</v>
      </c>
    </row>
    <row r="61" spans="3:29" x14ac:dyDescent="0.3">
      <c r="C61" s="281" t="str">
        <f t="shared" si="59"/>
        <v>Egout</v>
      </c>
      <c r="D61" s="296">
        <f t="shared" ref="D61:Q61" si="68">MAX($V14,$W14,ABS($X14),$Y14)/D$58</f>
        <v>0.58841886824149769</v>
      </c>
      <c r="E61" s="286">
        <f t="shared" si="68"/>
        <v>0.39227924549433191</v>
      </c>
      <c r="F61" s="286">
        <f t="shared" si="68"/>
        <v>0.19613962274716595</v>
      </c>
      <c r="G61" s="286" t="e">
        <f t="shared" si="68"/>
        <v>#DIV/0!</v>
      </c>
      <c r="H61" s="286" t="e">
        <f t="shared" si="68"/>
        <v>#DIV/0!</v>
      </c>
      <c r="I61" s="286" t="e">
        <f t="shared" si="68"/>
        <v>#DIV/0!</v>
      </c>
      <c r="J61" s="296">
        <f t="shared" si="68"/>
        <v>0.48396124512098521</v>
      </c>
      <c r="K61" s="286">
        <f t="shared" si="68"/>
        <v>0.32264083008065675</v>
      </c>
      <c r="L61" s="286">
        <f t="shared" si="68"/>
        <v>0.16132041504032837</v>
      </c>
      <c r="M61" s="286" t="e">
        <f t="shared" si="68"/>
        <v>#DIV/0!</v>
      </c>
      <c r="N61" s="286" t="e">
        <f t="shared" si="68"/>
        <v>#DIV/0!</v>
      </c>
      <c r="O61" s="286" t="e">
        <f t="shared" si="68"/>
        <v>#DIV/0!</v>
      </c>
      <c r="P61" s="296">
        <f t="shared" si="68"/>
        <v>0.30489558442622067</v>
      </c>
      <c r="Q61" s="286">
        <f t="shared" si="68"/>
        <v>0.20326372295081374</v>
      </c>
      <c r="R61" s="296">
        <f t="shared" si="61"/>
        <v>0.28048094974280297</v>
      </c>
      <c r="S61" s="287">
        <f t="shared" si="61"/>
        <v>0.19472478642527219</v>
      </c>
      <c r="T61" s="286"/>
      <c r="U61" s="286"/>
      <c r="V61" s="296">
        <f t="shared" si="62"/>
        <v>0.31692185707413495</v>
      </c>
      <c r="W61" s="286">
        <f t="shared" si="62"/>
        <v>0.21128123804942328</v>
      </c>
      <c r="X61" s="286">
        <f t="shared" si="62"/>
        <v>0.1580266490295501</v>
      </c>
      <c r="Y61" s="286">
        <f t="shared" si="62"/>
        <v>0.10535109935303341</v>
      </c>
      <c r="Z61" s="593">
        <f t="shared" si="63"/>
        <v>1800</v>
      </c>
      <c r="AA61">
        <f t="shared" si="64"/>
        <v>2</v>
      </c>
      <c r="AB61">
        <f t="shared" si="66"/>
        <v>2</v>
      </c>
      <c r="AC61" s="598">
        <f t="shared" si="67"/>
        <v>2</v>
      </c>
    </row>
    <row r="62" spans="3:29" x14ac:dyDescent="0.3">
      <c r="C62" s="281" t="str">
        <f t="shared" si="59"/>
        <v>Faitage</v>
      </c>
      <c r="D62" s="296">
        <f t="shared" ref="D62:Q62" si="69">MAX($V15,$W15,ABS($X15),$Y15)/D$58</f>
        <v>0.65041442682578554</v>
      </c>
      <c r="E62" s="286">
        <f t="shared" si="69"/>
        <v>0.4336096178838571</v>
      </c>
      <c r="F62" s="286">
        <f t="shared" si="69"/>
        <v>0.21680480894192855</v>
      </c>
      <c r="G62" s="286" t="e">
        <f t="shared" si="69"/>
        <v>#DIV/0!</v>
      </c>
      <c r="H62" s="286" t="e">
        <f t="shared" si="69"/>
        <v>#DIV/0!</v>
      </c>
      <c r="I62" s="286" t="e">
        <f t="shared" si="69"/>
        <v>#DIV/0!</v>
      </c>
      <c r="J62" s="296">
        <f t="shared" si="69"/>
        <v>0.53495119351283205</v>
      </c>
      <c r="K62" s="286">
        <f t="shared" si="69"/>
        <v>0.35663412900855462</v>
      </c>
      <c r="L62" s="286">
        <f t="shared" si="69"/>
        <v>0.17831706450427731</v>
      </c>
      <c r="M62" s="286" t="e">
        <f t="shared" si="69"/>
        <v>#DIV/0!</v>
      </c>
      <c r="N62" s="286" t="e">
        <f t="shared" si="69"/>
        <v>#DIV/0!</v>
      </c>
      <c r="O62" s="286" t="e">
        <f t="shared" si="69"/>
        <v>#DIV/0!</v>
      </c>
      <c r="P62" s="296">
        <f t="shared" si="69"/>
        <v>0.33701925191308418</v>
      </c>
      <c r="Q62" s="286">
        <f t="shared" si="69"/>
        <v>0.22467950127538944</v>
      </c>
      <c r="R62" s="296">
        <f t="shared" si="61"/>
        <v>0.31003230183238284</v>
      </c>
      <c r="S62" s="287">
        <f t="shared" si="61"/>
        <v>0.21524090607438973</v>
      </c>
      <c r="T62" s="286"/>
      <c r="U62" s="286"/>
      <c r="V62" s="296">
        <f t="shared" si="62"/>
        <v>0.35031260746866011</v>
      </c>
      <c r="W62" s="286">
        <f t="shared" si="62"/>
        <v>0.23354173831244002</v>
      </c>
      <c r="X62" s="286">
        <f t="shared" si="62"/>
        <v>0.17467626872490175</v>
      </c>
      <c r="Y62" s="286">
        <f t="shared" si="62"/>
        <v>0.11645084581660117</v>
      </c>
      <c r="Z62" s="593">
        <f t="shared" si="63"/>
        <v>1800</v>
      </c>
      <c r="AA62">
        <f t="shared" si="64"/>
        <v>2</v>
      </c>
      <c r="AB62">
        <f t="shared" si="66"/>
        <v>2</v>
      </c>
      <c r="AC62" s="598">
        <f t="shared" si="67"/>
        <v>2</v>
      </c>
    </row>
    <row r="63" spans="3:29" x14ac:dyDescent="0.3">
      <c r="C63" s="281" t="str">
        <f t="shared" si="59"/>
        <v>Angle inf.</v>
      </c>
      <c r="D63" s="296">
        <f t="shared" ref="D63:Q63" si="70">MAX($V16,$W16,ABS($X16),$Y16)/D$58</f>
        <v>0.88186308990397988</v>
      </c>
      <c r="E63" s="286">
        <f t="shared" si="70"/>
        <v>0.58790872660265336</v>
      </c>
      <c r="F63" s="286">
        <f t="shared" si="70"/>
        <v>0.29395436330132668</v>
      </c>
      <c r="G63" s="286" t="e">
        <f t="shared" si="70"/>
        <v>#DIV/0!</v>
      </c>
      <c r="H63" s="286" t="e">
        <f t="shared" si="70"/>
        <v>#DIV/0!</v>
      </c>
      <c r="I63" s="286" t="e">
        <f t="shared" si="70"/>
        <v>#DIV/0!</v>
      </c>
      <c r="J63" s="296">
        <f t="shared" si="70"/>
        <v>0.7253124976968075</v>
      </c>
      <c r="K63" s="286">
        <f t="shared" si="70"/>
        <v>0.48354166513120489</v>
      </c>
      <c r="L63" s="286">
        <f t="shared" si="70"/>
        <v>0.24177083256560244</v>
      </c>
      <c r="M63" s="286" t="e">
        <f t="shared" si="70"/>
        <v>#DIV/0!</v>
      </c>
      <c r="N63" s="286" t="e">
        <f t="shared" si="70"/>
        <v>#DIV/0!</v>
      </c>
      <c r="O63" s="286" t="e">
        <f t="shared" si="70"/>
        <v>#DIV/0!</v>
      </c>
      <c r="P63" s="296">
        <f t="shared" si="70"/>
        <v>0.45694687354898866</v>
      </c>
      <c r="Q63" s="286">
        <f t="shared" si="70"/>
        <v>0.30463124903265909</v>
      </c>
      <c r="R63" s="296">
        <f t="shared" si="61"/>
        <v>0.42035667166586493</v>
      </c>
      <c r="S63" s="287">
        <f t="shared" si="61"/>
        <v>0.2918339487499334</v>
      </c>
      <c r="T63" s="286"/>
      <c r="U63" s="286"/>
      <c r="V63" s="296">
        <f t="shared" si="62"/>
        <v>0.47497064289039725</v>
      </c>
      <c r="W63" s="286">
        <f t="shared" si="62"/>
        <v>0.3166470952602648</v>
      </c>
      <c r="X63" s="286">
        <f t="shared" si="62"/>
        <v>0.23683446694502638</v>
      </c>
      <c r="Y63" s="286">
        <f t="shared" si="62"/>
        <v>0.15788964463001759</v>
      </c>
      <c r="Z63" s="593">
        <f t="shared" si="63"/>
        <v>1800</v>
      </c>
      <c r="AA63">
        <f t="shared" si="64"/>
        <v>2</v>
      </c>
      <c r="AB63">
        <f t="shared" si="66"/>
        <v>2</v>
      </c>
      <c r="AC63" s="598">
        <f t="shared" si="67"/>
        <v>2</v>
      </c>
    </row>
    <row r="64" spans="3:29" ht="15" thickBot="1" x14ac:dyDescent="0.35">
      <c r="C64" s="281" t="str">
        <f t="shared" si="59"/>
        <v>Angles Sup.</v>
      </c>
      <c r="D64" s="297">
        <f t="shared" ref="D64:Q64" si="71">MAX($V17,$W17,ABS($X17),$Y17)/D$58</f>
        <v>1.3868419911654943</v>
      </c>
      <c r="E64" s="288">
        <f t="shared" si="71"/>
        <v>0.92456132744366304</v>
      </c>
      <c r="F64" s="288">
        <f t="shared" si="71"/>
        <v>0.46228066372183152</v>
      </c>
      <c r="G64" s="288" t="e">
        <f t="shared" si="71"/>
        <v>#DIV/0!</v>
      </c>
      <c r="H64" s="288" t="e">
        <f t="shared" si="71"/>
        <v>#DIV/0!</v>
      </c>
      <c r="I64" s="288" t="e">
        <f t="shared" si="71"/>
        <v>#DIV/0!</v>
      </c>
      <c r="J64" s="297">
        <f t="shared" si="71"/>
        <v>1.1406462522800263</v>
      </c>
      <c r="K64" s="288">
        <f t="shared" si="71"/>
        <v>0.76043083485335061</v>
      </c>
      <c r="L64" s="288">
        <f t="shared" si="71"/>
        <v>0.38021541742667531</v>
      </c>
      <c r="M64" s="288" t="e">
        <f t="shared" si="71"/>
        <v>#DIV/0!</v>
      </c>
      <c r="N64" s="288" t="e">
        <f t="shared" si="71"/>
        <v>#DIV/0!</v>
      </c>
      <c r="O64" s="288" t="e">
        <f t="shared" si="71"/>
        <v>#DIV/0!</v>
      </c>
      <c r="P64" s="297">
        <f t="shared" si="71"/>
        <v>0.71860713893641648</v>
      </c>
      <c r="Q64" s="288">
        <f t="shared" si="71"/>
        <v>0.47907142595761093</v>
      </c>
      <c r="R64" s="296">
        <f t="shared" si="61"/>
        <v>0.44070959177745939</v>
      </c>
      <c r="S64" s="287">
        <f t="shared" si="61"/>
        <v>0.30596402790680688</v>
      </c>
      <c r="T64" s="286"/>
      <c r="U64" s="286"/>
      <c r="V64" s="296">
        <f t="shared" si="62"/>
        <v>0.74695181108327813</v>
      </c>
      <c r="W64" s="286">
        <f t="shared" si="62"/>
        <v>0.49796787405551862</v>
      </c>
      <c r="X64" s="286">
        <f t="shared" si="62"/>
        <v>0.37245235397075266</v>
      </c>
      <c r="Y64" s="286">
        <f t="shared" si="62"/>
        <v>0.24830156931383512</v>
      </c>
      <c r="Z64" s="594">
        <f t="shared" si="63"/>
        <v>1200</v>
      </c>
      <c r="AA64" s="99">
        <f t="shared" si="64"/>
        <v>2</v>
      </c>
      <c r="AB64" s="99">
        <f t="shared" si="66"/>
        <v>2</v>
      </c>
      <c r="AC64" s="599">
        <f t="shared" si="67"/>
        <v>2</v>
      </c>
    </row>
    <row r="65" spans="3:29" x14ac:dyDescent="0.3">
      <c r="C65" s="280" t="str">
        <f t="shared" si="59"/>
        <v>Centre</v>
      </c>
      <c r="D65" s="296">
        <f t="shared" ref="D65:Q65" si="72">MAX($V18,$W18,ABS($X18),$Y18)/D$58</f>
        <v>0.56316992317842196</v>
      </c>
      <c r="E65" s="286">
        <f t="shared" si="72"/>
        <v>0.37544661545228142</v>
      </c>
      <c r="F65" s="286">
        <f t="shared" si="72"/>
        <v>0.18772330772614071</v>
      </c>
      <c r="G65" s="284" t="e">
        <f t="shared" si="72"/>
        <v>#DIV/0!</v>
      </c>
      <c r="H65" s="284" t="e">
        <f t="shared" si="72"/>
        <v>#DIV/0!</v>
      </c>
      <c r="I65" s="284" t="e">
        <f t="shared" si="72"/>
        <v>#DIV/0!</v>
      </c>
      <c r="J65" s="296">
        <f t="shared" si="72"/>
        <v>0.46319455739182425</v>
      </c>
      <c r="K65" s="286">
        <f t="shared" si="72"/>
        <v>0.30879637159454942</v>
      </c>
      <c r="L65" s="286">
        <f t="shared" si="72"/>
        <v>0.15439818579727471</v>
      </c>
      <c r="M65" s="286" t="e">
        <f t="shared" si="72"/>
        <v>#DIV/0!</v>
      </c>
      <c r="N65" s="286" t="e">
        <f t="shared" si="72"/>
        <v>#DIV/0!</v>
      </c>
      <c r="O65" s="286" t="e">
        <f t="shared" si="72"/>
        <v>#DIV/0!</v>
      </c>
      <c r="P65" s="296">
        <f t="shared" si="72"/>
        <v>0.29181257115684922</v>
      </c>
      <c r="Q65" s="286">
        <f t="shared" si="72"/>
        <v>0.19454171410456614</v>
      </c>
      <c r="R65" s="295">
        <f t="shared" si="61"/>
        <v>0.26844556394278674</v>
      </c>
      <c r="S65" s="285">
        <f t="shared" si="61"/>
        <v>0.18636918176975831</v>
      </c>
      <c r="T65" s="284"/>
      <c r="U65" s="284"/>
      <c r="V65" s="295">
        <f t="shared" si="62"/>
        <v>0.30332279866449091</v>
      </c>
      <c r="W65" s="284">
        <f t="shared" si="62"/>
        <v>0.20221519910966057</v>
      </c>
      <c r="X65" s="284">
        <f t="shared" si="62"/>
        <v>0.15124575467826379</v>
      </c>
      <c r="Y65" s="284">
        <f t="shared" si="62"/>
        <v>0.10083050311884252</v>
      </c>
      <c r="Z65" s="593">
        <f t="shared" ref="Z65:Z69" si="73">IFERROR(IF(AND(D65&lt;1,J65&lt;1),$D$55,IF(AND(E65&lt;1,K65&lt;1),$E$55,IF(AND(F65&lt;1,L65&lt;1),$F$55,IF(AND(G65&lt;1,M65&lt;1),$G$55,IF(AND(H65&lt;1,N65&lt;1),$H$55,IF(AND(I65&lt;1,O65&lt;1),$I$55,Surcharge)))))),Surcharge)</f>
        <v>1800</v>
      </c>
      <c r="AA65">
        <f t="shared" si="64"/>
        <v>2</v>
      </c>
      <c r="AB65">
        <f t="shared" si="66"/>
        <v>2</v>
      </c>
      <c r="AC65" s="598">
        <f t="shared" si="67"/>
        <v>2</v>
      </c>
    </row>
    <row r="66" spans="3:29" x14ac:dyDescent="0.3">
      <c r="C66" s="281" t="str">
        <f t="shared" si="59"/>
        <v>Rive</v>
      </c>
      <c r="D66" s="296">
        <f t="shared" ref="D66:Q66" si="74">MAX($V19,$W19,ABS($X19),$Y19)/D$58</f>
        <v>0.77665915214116421</v>
      </c>
      <c r="E66" s="286">
        <f t="shared" si="74"/>
        <v>0.51777276809410966</v>
      </c>
      <c r="F66" s="286">
        <f t="shared" si="74"/>
        <v>0.25888638404705483</v>
      </c>
      <c r="G66" s="286" t="e">
        <f t="shared" si="74"/>
        <v>#DIV/0!</v>
      </c>
      <c r="H66" s="286" t="e">
        <f t="shared" si="74"/>
        <v>#DIV/0!</v>
      </c>
      <c r="I66" s="286" t="e">
        <f t="shared" si="74"/>
        <v>#DIV/0!</v>
      </c>
      <c r="J66" s="296">
        <f t="shared" si="74"/>
        <v>0.63878463215863679</v>
      </c>
      <c r="K66" s="286">
        <f t="shared" si="74"/>
        <v>0.42585642143909114</v>
      </c>
      <c r="L66" s="286">
        <f t="shared" si="74"/>
        <v>0.21292821071954557</v>
      </c>
      <c r="M66" s="286" t="e">
        <f t="shared" si="74"/>
        <v>#DIV/0!</v>
      </c>
      <c r="N66" s="286" t="e">
        <f t="shared" si="74"/>
        <v>#DIV/0!</v>
      </c>
      <c r="O66" s="286" t="e">
        <f t="shared" si="74"/>
        <v>#DIV/0!</v>
      </c>
      <c r="P66" s="296">
        <f t="shared" si="74"/>
        <v>0.40243431825994119</v>
      </c>
      <c r="Q66" s="286">
        <f t="shared" si="74"/>
        <v>0.26828954550662742</v>
      </c>
      <c r="R66" s="296">
        <f t="shared" si="61"/>
        <v>0.37020923083246399</v>
      </c>
      <c r="S66" s="287">
        <f t="shared" si="61"/>
        <v>0.25701892935195902</v>
      </c>
      <c r="T66" s="286"/>
      <c r="U66" s="286"/>
      <c r="V66" s="296">
        <f t="shared" si="62"/>
        <v>0.41830789951688035</v>
      </c>
      <c r="W66" s="286">
        <f t="shared" si="62"/>
        <v>0.27887193301125351</v>
      </c>
      <c r="X66" s="286">
        <f t="shared" si="62"/>
        <v>0.20858074048133335</v>
      </c>
      <c r="Y66" s="286">
        <f t="shared" si="62"/>
        <v>0.13905382698755558</v>
      </c>
      <c r="Z66" s="593">
        <f t="shared" si="73"/>
        <v>1800</v>
      </c>
      <c r="AA66">
        <f t="shared" si="64"/>
        <v>2</v>
      </c>
      <c r="AB66">
        <f t="shared" si="66"/>
        <v>2</v>
      </c>
      <c r="AC66" s="598">
        <f t="shared" si="67"/>
        <v>2</v>
      </c>
    </row>
    <row r="67" spans="3:29" x14ac:dyDescent="0.3">
      <c r="C67" s="281" t="str">
        <f t="shared" si="59"/>
        <v>Egout</v>
      </c>
      <c r="D67" s="296">
        <f t="shared" ref="D67:Q67" si="75">MAX($V20,$W20,ABS($X20),$Y20)/D$58</f>
        <v>0.58841886824149769</v>
      </c>
      <c r="E67" s="286">
        <f t="shared" si="75"/>
        <v>0.39227924549433191</v>
      </c>
      <c r="F67" s="286">
        <f t="shared" si="75"/>
        <v>0.19613962274716595</v>
      </c>
      <c r="G67" s="286" t="e">
        <f t="shared" si="75"/>
        <v>#DIV/0!</v>
      </c>
      <c r="H67" s="286" t="e">
        <f t="shared" si="75"/>
        <v>#DIV/0!</v>
      </c>
      <c r="I67" s="286" t="e">
        <f t="shared" si="75"/>
        <v>#DIV/0!</v>
      </c>
      <c r="J67" s="296">
        <f t="shared" si="75"/>
        <v>0.48396124512098521</v>
      </c>
      <c r="K67" s="286">
        <f t="shared" si="75"/>
        <v>0.32264083008065675</v>
      </c>
      <c r="L67" s="286">
        <f t="shared" si="75"/>
        <v>0.16132041504032837</v>
      </c>
      <c r="M67" s="286" t="e">
        <f t="shared" si="75"/>
        <v>#DIV/0!</v>
      </c>
      <c r="N67" s="286" t="e">
        <f t="shared" si="75"/>
        <v>#DIV/0!</v>
      </c>
      <c r="O67" s="286" t="e">
        <f t="shared" si="75"/>
        <v>#DIV/0!</v>
      </c>
      <c r="P67" s="296">
        <f t="shared" si="75"/>
        <v>0.30489558442622067</v>
      </c>
      <c r="Q67" s="286">
        <f t="shared" si="75"/>
        <v>0.20326372295081374</v>
      </c>
      <c r="R67" s="296">
        <f t="shared" si="61"/>
        <v>0.28048094974280297</v>
      </c>
      <c r="S67" s="287">
        <f t="shared" si="61"/>
        <v>0.19472478642527219</v>
      </c>
      <c r="T67" s="286"/>
      <c r="U67" s="286"/>
      <c r="V67" s="296">
        <f t="shared" si="62"/>
        <v>0.31692185707413495</v>
      </c>
      <c r="W67" s="286">
        <f t="shared" si="62"/>
        <v>0.21128123804942328</v>
      </c>
      <c r="X67" s="286">
        <f t="shared" si="62"/>
        <v>0.1580266490295501</v>
      </c>
      <c r="Y67" s="286">
        <f t="shared" si="62"/>
        <v>0.10535109935303341</v>
      </c>
      <c r="Z67" s="593">
        <f t="shared" si="73"/>
        <v>1800</v>
      </c>
      <c r="AA67">
        <f t="shared" si="64"/>
        <v>2</v>
      </c>
      <c r="AB67">
        <f t="shared" si="66"/>
        <v>2</v>
      </c>
      <c r="AC67" s="598">
        <f t="shared" si="67"/>
        <v>2</v>
      </c>
    </row>
    <row r="68" spans="3:29" x14ac:dyDescent="0.3">
      <c r="C68" s="281" t="str">
        <f t="shared" si="59"/>
        <v>Faitage</v>
      </c>
      <c r="D68" s="296">
        <f t="shared" ref="D68:Q68" si="76">MAX($V21,$W21,ABS($X21),$Y21)/D$58</f>
        <v>0.56316992317842196</v>
      </c>
      <c r="E68" s="286">
        <f t="shared" si="76"/>
        <v>0.37544661545228142</v>
      </c>
      <c r="F68" s="286">
        <f t="shared" si="76"/>
        <v>0.18772330772614071</v>
      </c>
      <c r="G68" s="286" t="e">
        <f t="shared" si="76"/>
        <v>#DIV/0!</v>
      </c>
      <c r="H68" s="286" t="e">
        <f t="shared" si="76"/>
        <v>#DIV/0!</v>
      </c>
      <c r="I68" s="286" t="e">
        <f t="shared" si="76"/>
        <v>#DIV/0!</v>
      </c>
      <c r="J68" s="296">
        <f t="shared" si="76"/>
        <v>0.46319455739182425</v>
      </c>
      <c r="K68" s="286">
        <f t="shared" si="76"/>
        <v>0.30879637159454942</v>
      </c>
      <c r="L68" s="286">
        <f t="shared" si="76"/>
        <v>0.15439818579727471</v>
      </c>
      <c r="M68" s="286" t="e">
        <f t="shared" si="76"/>
        <v>#DIV/0!</v>
      </c>
      <c r="N68" s="286" t="e">
        <f t="shared" si="76"/>
        <v>#DIV/0!</v>
      </c>
      <c r="O68" s="286" t="e">
        <f t="shared" si="76"/>
        <v>#DIV/0!</v>
      </c>
      <c r="P68" s="296">
        <f t="shared" si="76"/>
        <v>0.29181257115684922</v>
      </c>
      <c r="Q68" s="286">
        <f t="shared" si="76"/>
        <v>0.19454171410456614</v>
      </c>
      <c r="R68" s="296">
        <f t="shared" si="61"/>
        <v>0.26844556394278674</v>
      </c>
      <c r="S68" s="287">
        <f t="shared" si="61"/>
        <v>0.18636918176975831</v>
      </c>
      <c r="T68" s="286"/>
      <c r="U68" s="286"/>
      <c r="V68" s="296">
        <f t="shared" si="62"/>
        <v>0.30332279866449091</v>
      </c>
      <c r="W68" s="286">
        <f t="shared" si="62"/>
        <v>0.20221519910966057</v>
      </c>
      <c r="X68" s="286">
        <f t="shared" si="62"/>
        <v>0.15124575467826379</v>
      </c>
      <c r="Y68" s="286">
        <f t="shared" si="62"/>
        <v>0.10083050311884252</v>
      </c>
      <c r="Z68" s="593">
        <f t="shared" ref="Z68" si="77">IFERROR(IF(AND(D68&lt;1,J68&lt;1),$D$55,IF(AND(E68&lt;1,K68&lt;1),$E$55,IF(AND(F68&lt;1,L68&lt;1),$F$55,IF(AND(G68&lt;1,M68&lt;1),$G$55,IF(AND(H68&lt;1,N68&lt;1),$H$55,IF(AND(I68&lt;1,O68&lt;1),$I$55,Surcharge)))))),Surcharge)</f>
        <v>1800</v>
      </c>
      <c r="AA68">
        <f t="shared" ref="AA68" si="78">IF(AND(V68&lt;1,X68&lt;1),$V$57,IF(AND(W68&lt;1,Y68&lt;1),$W$57,"Surcharge"))</f>
        <v>2</v>
      </c>
      <c r="AB68">
        <f t="shared" si="66"/>
        <v>2</v>
      </c>
      <c r="AC68" s="598">
        <f t="shared" ref="AC68" si="79">IF(P68&lt;1,$P$57,IF(Q68&lt;1,$Q$57,"surcharge"))</f>
        <v>2</v>
      </c>
    </row>
    <row r="69" spans="3:29" ht="15" thickBot="1" x14ac:dyDescent="0.35">
      <c r="C69" s="290" t="str">
        <f t="shared" si="59"/>
        <v>Angle inf.</v>
      </c>
      <c r="D69" s="297">
        <f t="shared" ref="D69:Q69" si="80">MAX($V22,$W22,ABS($X22),$Y22)/D$58</f>
        <v>0.71353678948347499</v>
      </c>
      <c r="E69" s="288">
        <f t="shared" si="80"/>
        <v>0.47569119298898344</v>
      </c>
      <c r="F69" s="288">
        <f t="shared" si="80"/>
        <v>0.23784559649449172</v>
      </c>
      <c r="G69" s="288" t="e">
        <f t="shared" si="80"/>
        <v>#DIV/0!</v>
      </c>
      <c r="H69" s="288" t="e">
        <f t="shared" si="80"/>
        <v>#DIV/0!</v>
      </c>
      <c r="I69" s="288" t="e">
        <f t="shared" si="80"/>
        <v>#DIV/0!</v>
      </c>
      <c r="J69" s="297">
        <f t="shared" si="80"/>
        <v>0.58686791283573458</v>
      </c>
      <c r="K69" s="288">
        <f t="shared" si="80"/>
        <v>0.39124527522382296</v>
      </c>
      <c r="L69" s="288">
        <f t="shared" si="80"/>
        <v>0.19562263761191148</v>
      </c>
      <c r="M69" s="288" t="e">
        <f t="shared" si="80"/>
        <v>#DIV/0!</v>
      </c>
      <c r="N69" s="288" t="e">
        <f t="shared" si="80"/>
        <v>#DIV/0!</v>
      </c>
      <c r="O69" s="288" t="e">
        <f t="shared" si="80"/>
        <v>#DIV/0!</v>
      </c>
      <c r="P69" s="297">
        <f t="shared" si="80"/>
        <v>0.36972678508651274</v>
      </c>
      <c r="Q69" s="288">
        <f t="shared" si="80"/>
        <v>0.24648452339100846</v>
      </c>
      <c r="R69" s="297">
        <f t="shared" si="61"/>
        <v>0.3401207663324235</v>
      </c>
      <c r="S69" s="289">
        <f t="shared" si="61"/>
        <v>0.2361299177131744</v>
      </c>
      <c r="T69" s="288"/>
      <c r="U69" s="288"/>
      <c r="V69" s="297">
        <f t="shared" si="62"/>
        <v>0.38431025349277032</v>
      </c>
      <c r="W69" s="288">
        <f t="shared" si="62"/>
        <v>0.25620683566184682</v>
      </c>
      <c r="X69" s="288">
        <f t="shared" si="62"/>
        <v>0.19162850460311759</v>
      </c>
      <c r="Y69" s="288">
        <f t="shared" si="62"/>
        <v>0.12775233640207839</v>
      </c>
      <c r="Z69" s="594">
        <f t="shared" si="73"/>
        <v>1800</v>
      </c>
      <c r="AA69" s="99">
        <f t="shared" si="64"/>
        <v>2</v>
      </c>
      <c r="AB69" s="99">
        <f t="shared" si="66"/>
        <v>2</v>
      </c>
      <c r="AC69" s="599">
        <f t="shared" si="67"/>
        <v>2</v>
      </c>
    </row>
    <row r="70" spans="3:29" x14ac:dyDescent="0.3">
      <c r="D70" s="685" t="str">
        <f>_xlfn.CONCAT(D56,D55)</f>
        <v>Rail1800</v>
      </c>
      <c r="E70" s="685" t="str">
        <f t="shared" ref="E70:Y70" si="81">_xlfn.CONCAT(E56,E55)</f>
        <v>Rail1200</v>
      </c>
      <c r="F70" s="685" t="str">
        <f t="shared" si="81"/>
        <v>Rail600</v>
      </c>
      <c r="G70" s="685" t="str">
        <f t="shared" si="81"/>
        <v>Rail0</v>
      </c>
      <c r="H70" s="685" t="str">
        <f t="shared" si="81"/>
        <v>Rail0</v>
      </c>
      <c r="I70" s="685" t="str">
        <f t="shared" si="81"/>
        <v>Rail0</v>
      </c>
      <c r="J70" s="685" t="str">
        <f t="shared" si="81"/>
        <v>Crochet1800</v>
      </c>
      <c r="K70" s="685" t="str">
        <f t="shared" si="81"/>
        <v>Crochet1200</v>
      </c>
      <c r="L70" s="685" t="str">
        <f t="shared" si="81"/>
        <v>Crochet600</v>
      </c>
      <c r="M70" s="685" t="str">
        <f t="shared" si="81"/>
        <v>Crochet0</v>
      </c>
      <c r="N70" s="685" t="str">
        <f t="shared" si="81"/>
        <v>Crochet0</v>
      </c>
      <c r="O70" s="685" t="str">
        <f t="shared" si="81"/>
        <v>Crochet0</v>
      </c>
      <c r="P70" s="685" t="str">
        <f t="shared" si="81"/>
        <v>ISY-RAIL2</v>
      </c>
      <c r="Q70" s="685" t="str">
        <f t="shared" si="81"/>
        <v>ISY-RAIL3</v>
      </c>
      <c r="R70" s="685" t="str">
        <f t="shared" si="81"/>
        <v>Vis2</v>
      </c>
      <c r="S70" s="685" t="str">
        <f t="shared" si="81"/>
        <v>Vis3</v>
      </c>
      <c r="T70" s="685" t="str">
        <f t="shared" si="81"/>
        <v>Module0</v>
      </c>
      <c r="U70" s="685" t="str">
        <f t="shared" si="81"/>
        <v>Module0</v>
      </c>
      <c r="V70" s="685" t="str">
        <f t="shared" si="81"/>
        <v>Etrier inter2</v>
      </c>
      <c r="W70" s="685" t="str">
        <f t="shared" si="81"/>
        <v>Etrier inter3</v>
      </c>
      <c r="X70" s="685" t="str">
        <f t="shared" si="81"/>
        <v>Etrier exter2</v>
      </c>
      <c r="Y70" s="685" t="str">
        <f t="shared" si="81"/>
        <v>Etrier exter3</v>
      </c>
    </row>
  </sheetData>
  <mergeCells count="3">
    <mergeCell ref="A12:A22"/>
    <mergeCell ref="A25:A35"/>
    <mergeCell ref="A4:A7"/>
  </mergeCells>
  <phoneticPr fontId="37" type="noConversion"/>
  <conditionalFormatting sqref="D59:Y70">
    <cfRule type="cellIs" dxfId="3" priority="1" operator="greaterThan">
      <formula>1</formula>
    </cfRule>
    <cfRule type="cellIs" dxfId="2" priority="2" operator="between">
      <formula>0.9</formula>
      <formula>1</formula>
    </cfRule>
    <cfRule type="cellIs" dxfId="1" priority="3" operator="between">
      <formula>0</formula>
      <formula>0.8</formula>
    </cfRule>
    <cfRule type="cellIs" dxfId="0" priority="4" operator="between">
      <formula>0.8</formula>
      <formula>0.9</formula>
    </cfRule>
  </conditionalFormatting>
  <pageMargins left="0.7" right="0.7" top="0.75" bottom="0.75" header="0.3" footer="0.3"/>
  <pageSetup orientation="portrait" horizontalDpi="1200" verticalDpi="1200" r:id="rId1"/>
  <ignoredErrors>
    <ignoredError sqref="J54" formula="1"/>
    <ignoredError sqref="G58:I58 M58:O58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B50DB-6B7A-4601-85CB-1F7DBB0FD631}">
  <sheetPr codeName="Feuil2"/>
  <dimension ref="A2:W53"/>
  <sheetViews>
    <sheetView workbookViewId="0">
      <selection activeCell="F69" sqref="F69"/>
    </sheetView>
  </sheetViews>
  <sheetFormatPr baseColWidth="10" defaultColWidth="11.5546875" defaultRowHeight="14.4" x14ac:dyDescent="0.3"/>
  <cols>
    <col min="1" max="1" width="14.44140625" bestFit="1" customWidth="1"/>
    <col min="2" max="2" width="40.5546875" bestFit="1" customWidth="1"/>
    <col min="3" max="7" width="14.44140625" style="14" customWidth="1"/>
    <col min="8" max="8" width="15.44140625" style="14" bestFit="1" customWidth="1"/>
    <col min="9" max="9" width="14.109375" customWidth="1"/>
    <col min="15" max="15" width="15.44140625" bestFit="1" customWidth="1"/>
    <col min="16" max="16" width="4.44140625" bestFit="1" customWidth="1"/>
    <col min="17" max="17" width="24.6640625" bestFit="1" customWidth="1"/>
    <col min="18" max="19" width="5.6640625" bestFit="1" customWidth="1"/>
  </cols>
  <sheetData>
    <row r="2" spans="1:17" x14ac:dyDescent="0.3">
      <c r="C2" s="11" t="s">
        <v>474</v>
      </c>
      <c r="D2" s="12" t="s">
        <v>475</v>
      </c>
      <c r="E2" s="12" t="s">
        <v>9</v>
      </c>
      <c r="F2" s="12" t="s">
        <v>14</v>
      </c>
      <c r="G2" s="569" t="s">
        <v>20</v>
      </c>
      <c r="H2" s="13" t="s">
        <v>446</v>
      </c>
      <c r="J2" s="11" t="str">
        <f>C2</f>
        <v>Tuile faible galbe / aspect plat</v>
      </c>
      <c r="K2" s="12" t="str">
        <f t="shared" ref="K2:O2" si="0">D2</f>
        <v>Tuile fort galbe</v>
      </c>
      <c r="L2" s="12" t="str">
        <f t="shared" si="0"/>
        <v>Ardoise</v>
      </c>
      <c r="M2" s="12" t="str">
        <f t="shared" si="0"/>
        <v>Tuile plate</v>
      </c>
      <c r="N2" s="13" t="str">
        <f t="shared" si="0"/>
        <v>Fibrociment</v>
      </c>
      <c r="O2" s="13" t="str">
        <f t="shared" si="0"/>
        <v>Bac trapézoïdale</v>
      </c>
    </row>
    <row r="3" spans="1:17" x14ac:dyDescent="0.3">
      <c r="B3" s="20" t="str">
        <f>Logistique!$I$26</f>
        <v>Crochet standard réglable - ISY-PV</v>
      </c>
      <c r="C3" s="566" t="str">
        <f>IF(OR(choix_charp=Données!$C$11,choix_charp=Données!$D$11),"x","")</f>
        <v/>
      </c>
      <c r="D3" s="567" t="str">
        <f>IF(OR(choix_charp=Données!$C$11,choix_charp=Données!$D$11),"x","")</f>
        <v/>
      </c>
      <c r="E3" s="567"/>
      <c r="F3" s="567"/>
      <c r="G3" s="570"/>
      <c r="H3" s="568"/>
      <c r="J3" s="3">
        <f>IF(C3="x",1,0)</f>
        <v>0</v>
      </c>
      <c r="K3" s="4">
        <f>IF(D3="x",1,0)</f>
        <v>0</v>
      </c>
      <c r="L3" s="4">
        <f t="shared" ref="L3:O3" si="1">IF(E3="x",1,0)</f>
        <v>0</v>
      </c>
      <c r="M3" s="4">
        <f t="shared" si="1"/>
        <v>0</v>
      </c>
      <c r="N3" s="4">
        <f t="shared" si="1"/>
        <v>0</v>
      </c>
      <c r="O3" s="4">
        <f t="shared" si="1"/>
        <v>0</v>
      </c>
    </row>
    <row r="4" spans="1:17" x14ac:dyDescent="0.3">
      <c r="B4" s="21" t="str">
        <f>Logistique!$I$31</f>
        <v>Crochet ardoises - ISY-PV</v>
      </c>
      <c r="C4" s="5"/>
      <c r="D4" s="6"/>
      <c r="E4" s="6" t="str">
        <f>IF(OR(choix_charp=Données!$C$11,choix_charp=Données!$D$11),"x","")</f>
        <v/>
      </c>
      <c r="F4" s="6"/>
      <c r="G4" s="489"/>
      <c r="H4" s="7"/>
      <c r="J4" s="5">
        <f>IF(C4="x",LARGE(J$2:J3,1)+1,0)</f>
        <v>0</v>
      </c>
      <c r="K4" s="6">
        <f>IF(D4="x",LARGE(K$2:K3,1)+1,0)</f>
        <v>0</v>
      </c>
      <c r="L4" s="6">
        <f>IF(E4="x",LARGE(L$2:L3,1)+1,0)</f>
        <v>0</v>
      </c>
      <c r="M4" s="6">
        <f>IF(F4="x",LARGE(M$2:M3,1)+1,0)</f>
        <v>0</v>
      </c>
      <c r="N4" s="6">
        <f>IF(G4="x",LARGE(N$2:N3,1)+1,0)</f>
        <v>0</v>
      </c>
      <c r="O4" s="6">
        <f>IF(H4="x",LARGE(O$2:O3,1)+1,0)</f>
        <v>0</v>
      </c>
    </row>
    <row r="5" spans="1:17" x14ac:dyDescent="0.3">
      <c r="B5" s="21" t="str">
        <f>Logistique!$I$32</f>
        <v>Crochet ardoises compact Black Finish - ISY-PV</v>
      </c>
      <c r="C5" s="5"/>
      <c r="D5" s="6"/>
      <c r="E5" s="6" t="str">
        <f>IF(OR(choix_charp=Données!$C$11,choix_charp=Données!$D$11),"x","")</f>
        <v/>
      </c>
      <c r="F5" s="6"/>
      <c r="G5" s="489"/>
      <c r="H5" s="7"/>
      <c r="J5" s="5">
        <f>IF(C5="x",LARGE(J$2:J4,1)+1,0)</f>
        <v>0</v>
      </c>
      <c r="K5" s="6">
        <f>IF(D5="x",LARGE(K$2:K4,1)+1,0)</f>
        <v>0</v>
      </c>
      <c r="L5" s="6">
        <f>IF(E5="x",LARGE(L$2:L4,1)+1,0)</f>
        <v>0</v>
      </c>
      <c r="M5" s="6">
        <f>IF(F5="x",LARGE(M$2:M4,1)+1,0)</f>
        <v>0</v>
      </c>
      <c r="N5" s="6">
        <f>IF(G5="x",LARGE(N$2:N4,1)+1,0)</f>
        <v>0</v>
      </c>
      <c r="O5" s="6">
        <f>IF(H5="x",LARGE(O$2:O4,1)+1,0)</f>
        <v>0</v>
      </c>
    </row>
    <row r="6" spans="1:17" x14ac:dyDescent="0.3">
      <c r="B6" s="21" t="str">
        <f>Logistique!$I$30</f>
        <v>Crochets tuiles plates - ISY-PV</v>
      </c>
      <c r="C6" s="5"/>
      <c r="D6" s="6"/>
      <c r="E6" s="6"/>
      <c r="F6" s="6" t="str">
        <f>IF(OR(choix_charp=Données!$C$11,choix_charp=Données!$D$11),"x","")</f>
        <v/>
      </c>
      <c r="G6" s="489"/>
      <c r="H6" s="7"/>
      <c r="J6" s="5">
        <f>IF(C6="x",LARGE(J$2:J5,1)+1,0)</f>
        <v>0</v>
      </c>
      <c r="K6" s="6">
        <f>IF(D6="x",LARGE(K$2:K5,1)+1,0)</f>
        <v>0</v>
      </c>
      <c r="L6" s="6">
        <f>IF(E6="x",LARGE(L$2:L5,1)+1,0)</f>
        <v>0</v>
      </c>
      <c r="M6" s="6">
        <f>IF(F6="x",LARGE(M$2:M5,1)+1,0)</f>
        <v>0</v>
      </c>
      <c r="N6" s="6">
        <f>IF(G6="x",LARGE(N$2:N5,1)+1,0)</f>
        <v>0</v>
      </c>
      <c r="O6" s="6">
        <f>IF(H6="x",LARGE(O$2:O5,1)+1,0)</f>
        <v>0</v>
      </c>
    </row>
    <row r="7" spans="1:17" x14ac:dyDescent="0.3">
      <c r="B7" s="21" t="str">
        <f>Logistique!$I$27</f>
        <v>Tire-Fond bois M10 x 200 - ISY-PV</v>
      </c>
      <c r="C7" s="5"/>
      <c r="D7" s="6"/>
      <c r="E7" s="6"/>
      <c r="F7" s="6"/>
      <c r="G7" s="489" t="str">
        <f>IF(OR(choix_charp=Données!$E$11),"x","")</f>
        <v/>
      </c>
      <c r="H7" s="7"/>
      <c r="J7" s="5">
        <f>IF(C7="x",LARGE(J$2:J6,1)+1,0)</f>
        <v>0</v>
      </c>
      <c r="K7" s="6">
        <f>IF(D7="x",LARGE(K$2:K6,1)+1,0)</f>
        <v>0</v>
      </c>
      <c r="L7" s="6">
        <f>IF(E7="x",LARGE(L$2:L6,1)+1,0)</f>
        <v>0</v>
      </c>
      <c r="M7" s="6">
        <f>IF(F7="x",LARGE(M$2:M6,1)+1,0)</f>
        <v>0</v>
      </c>
      <c r="N7" s="6">
        <f>IF(G7="x",LARGE(N$2:N6,1)+1,0)</f>
        <v>0</v>
      </c>
      <c r="O7" s="6">
        <f>IF(H7="x",LARGE(O$2:O6,1)+1,0)</f>
        <v>0</v>
      </c>
    </row>
    <row r="8" spans="1:17" x14ac:dyDescent="0.3">
      <c r="B8" s="21" t="str">
        <f>Logistique!$I$28</f>
        <v>Tire-Fond bois M10 x 250- ISY-PV</v>
      </c>
      <c r="C8" s="5"/>
      <c r="D8" s="6"/>
      <c r="E8" s="6"/>
      <c r="F8" s="6"/>
      <c r="G8" s="489" t="str">
        <f>IF(OR(choix_charp=Données!$E$11),"x","")</f>
        <v/>
      </c>
      <c r="H8" s="7"/>
      <c r="J8" s="5">
        <f>IF(C8="x",LARGE(J$2:J7,1)+1,0)</f>
        <v>0</v>
      </c>
      <c r="K8" s="6">
        <f>IF(D8="x",LARGE(K$2:K7,1)+1,0)</f>
        <v>0</v>
      </c>
      <c r="L8" s="6">
        <f>IF(E8="x",LARGE(L$2:L7,1)+1,0)</f>
        <v>0</v>
      </c>
      <c r="M8" s="6">
        <f>IF(F8="x",LARGE(M$2:M7,1)+1,0)</f>
        <v>0</v>
      </c>
      <c r="N8" s="6">
        <f>IF(G8="x",LARGE(N$2:N7,1)+1,0)</f>
        <v>0</v>
      </c>
      <c r="O8" s="6">
        <f>IF(H8="x",LARGE(O$2:O7,1)+1,0)</f>
        <v>0</v>
      </c>
    </row>
    <row r="9" spans="1:17" x14ac:dyDescent="0.3">
      <c r="B9" s="21" t="str">
        <f>Logistique!$I$29</f>
        <v>Tire-Fond bois M12 x 300- ISY-PV</v>
      </c>
      <c r="C9" s="5"/>
      <c r="D9" s="6"/>
      <c r="E9" s="6"/>
      <c r="F9" s="6"/>
      <c r="G9" s="489" t="str">
        <f>IF(OR(choix_charp=Données!$E$11),"x","")</f>
        <v/>
      </c>
      <c r="H9" s="7"/>
      <c r="J9" s="5">
        <f>IF(C9="x",LARGE(J$2:J8,1)+1,0)</f>
        <v>0</v>
      </c>
      <c r="K9" s="6">
        <f>IF(D9="x",LARGE(K$2:K8,1)+1,0)</f>
        <v>0</v>
      </c>
      <c r="L9" s="6">
        <f>IF(E9="x",LARGE(L$2:L8,1)+1,0)</f>
        <v>0</v>
      </c>
      <c r="M9" s="6">
        <f>IF(F9="x",LARGE(M$2:M8,1)+1,0)</f>
        <v>0</v>
      </c>
      <c r="N9" s="6">
        <f>IF(G9="x",LARGE(N$2:N8,1)+1,0)</f>
        <v>0</v>
      </c>
      <c r="O9" s="6">
        <f>IF(H9="x",LARGE(O$2:O8,1)+1,0)</f>
        <v>0</v>
      </c>
    </row>
    <row r="10" spans="1:17" x14ac:dyDescent="0.3">
      <c r="B10" s="21" t="str">
        <f>Logistique!$I$33</f>
        <v>Tire-fond métal M10x160 - ISY-PV</v>
      </c>
      <c r="C10" s="5"/>
      <c r="D10" s="6"/>
      <c r="E10" s="6"/>
      <c r="F10" s="6"/>
      <c r="G10" s="489" t="str">
        <f>IF(OR(choix_charp=Données!$F$11),"x","")</f>
        <v>x</v>
      </c>
      <c r="H10" s="7"/>
      <c r="J10" s="5">
        <f>IF(C10="x",LARGE(J$2:J9,1)+1,0)</f>
        <v>0</v>
      </c>
      <c r="K10" s="6">
        <f>IF(D10="x",LARGE(K$2:K9,1)+1,0)</f>
        <v>0</v>
      </c>
      <c r="L10" s="6">
        <f>IF(E10="x",LARGE(L$2:L9,1)+1,0)</f>
        <v>0</v>
      </c>
      <c r="M10" s="6">
        <f>IF(F10="x",LARGE(M$2:M9,1)+1,0)</f>
        <v>0</v>
      </c>
      <c r="N10" s="6">
        <f>IF(G10="x",LARGE(N$2:N9,1)+1,0)</f>
        <v>1</v>
      </c>
      <c r="O10" s="6">
        <f>IF(H10="x",LARGE(O$2:O9,1)+1,0)</f>
        <v>0</v>
      </c>
    </row>
    <row r="11" spans="1:17" x14ac:dyDescent="0.3">
      <c r="B11" s="21" t="str">
        <f>Logistique!$I$25</f>
        <v>Crochets Standard TMH - ISY-PV</v>
      </c>
      <c r="C11" s="5" t="str">
        <f>IF(OR(choix_charp=Données!$C$11,choix_charp=Données!$D$11),"x","")</f>
        <v/>
      </c>
      <c r="D11" s="6" t="str">
        <f>IF(OR(choix_charp=Données!$C$11,choix_charp=Données!$D$11),"x","")</f>
        <v/>
      </c>
      <c r="E11" s="6"/>
      <c r="F11" s="6"/>
      <c r="G11" s="489"/>
      <c r="H11" s="7"/>
      <c r="J11" s="5">
        <f>IF(C11="x",LARGE(J$2:J10,1)+1,0)</f>
        <v>0</v>
      </c>
      <c r="K11" s="6">
        <f>IF(D11="x",LARGE(K$2:K10,1)+1,0)</f>
        <v>0</v>
      </c>
      <c r="L11" s="6">
        <f>IF(E11="x",LARGE(L$2:L10,1)+1,0)</f>
        <v>0</v>
      </c>
      <c r="M11" s="6">
        <f>IF(F11="x",LARGE(M$2:M10,1)+1,0)</f>
        <v>0</v>
      </c>
      <c r="N11" s="6">
        <f>IF(G11="x",LARGE(N$2:N10,1)+1,0)</f>
        <v>0</v>
      </c>
      <c r="O11" s="6">
        <f>IF(H11="x",LARGE(O$2:O10,1)+1,0)</f>
        <v>0</v>
      </c>
    </row>
    <row r="12" spans="1:17" x14ac:dyDescent="0.3">
      <c r="B12" s="21" t="str">
        <f>Logistique!I11</f>
        <v xml:space="preserve">ISY-Rail v1 + EPDM + 4 Vis </v>
      </c>
      <c r="C12" s="5"/>
      <c r="D12" s="6"/>
      <c r="E12" s="6"/>
      <c r="F12" s="6"/>
      <c r="G12" s="489"/>
      <c r="H12" s="7" t="s">
        <v>19</v>
      </c>
      <c r="J12" s="5">
        <f>IF(C12="x",LARGE(J$2:J11,1)+1,0)</f>
        <v>0</v>
      </c>
      <c r="K12" s="6">
        <f>IF(D12="x",LARGE(K$2:K11,1)+1,0)</f>
        <v>0</v>
      </c>
      <c r="L12" s="6">
        <f>IF(E12="x",LARGE(L$2:L11,1)+1,0)</f>
        <v>0</v>
      </c>
      <c r="M12" s="6">
        <f>IF(F12="x",LARGE(M$2:M11,1)+1,0)</f>
        <v>0</v>
      </c>
      <c r="N12" s="6">
        <f>IF(G12="x",LARGE(N$2:N11,1)+1,0)</f>
        <v>0</v>
      </c>
      <c r="O12" s="6">
        <f>IF(H12="x",LARGE(O$2:O11,1)+1,0)</f>
        <v>1</v>
      </c>
    </row>
    <row r="13" spans="1:17" x14ac:dyDescent="0.3">
      <c r="B13" s="22" t="str">
        <f>Logistique!I12</f>
        <v>ISY-Rail v2 - L385 + EPDM + 4 vis</v>
      </c>
      <c r="C13" s="8"/>
      <c r="D13" s="9"/>
      <c r="E13" s="9"/>
      <c r="F13" s="9"/>
      <c r="G13" s="490"/>
      <c r="H13" s="10" t="s">
        <v>19</v>
      </c>
      <c r="J13" s="5">
        <f>IF(C13="x",LARGE(J$2:J12,1)+1,0)</f>
        <v>0</v>
      </c>
      <c r="K13" s="6">
        <f>IF(D13="x",LARGE(K$2:K12,1)+1,0)</f>
        <v>0</v>
      </c>
      <c r="L13" s="6">
        <f>IF(E13="x",LARGE(L$2:L12,1)+1,0)</f>
        <v>0</v>
      </c>
      <c r="M13" s="6">
        <f>IF(F13="x",LARGE(M$2:M12,1)+1,0)</f>
        <v>0</v>
      </c>
      <c r="N13" s="6">
        <f>IF(G13="x",LARGE(N$2:N12,1)+1,0)</f>
        <v>0</v>
      </c>
      <c r="O13" s="6">
        <f>IF(H13="x",LARGE(O$2:O12,1)+1,0)</f>
        <v>2</v>
      </c>
    </row>
    <row r="15" spans="1:17" x14ac:dyDescent="0.3">
      <c r="B15" s="1" t="s">
        <v>18</v>
      </c>
      <c r="C15" s="713" t="str">
        <f>C$2</f>
        <v>Tuile faible galbe / aspect plat</v>
      </c>
      <c r="D15" s="713" t="str">
        <f t="shared" ref="D15:H15" si="2">D$2</f>
        <v>Tuile fort galbe</v>
      </c>
      <c r="E15" s="713" t="str">
        <f t="shared" si="2"/>
        <v>Ardoise</v>
      </c>
      <c r="F15" s="713" t="str">
        <f t="shared" si="2"/>
        <v>Tuile plate</v>
      </c>
      <c r="G15" s="713" t="str">
        <f t="shared" si="2"/>
        <v>Fibrociment</v>
      </c>
      <c r="H15" s="713" t="str">
        <f t="shared" si="2"/>
        <v>Bac trapézoïdale</v>
      </c>
      <c r="J15" s="2" t="str">
        <f>J2</f>
        <v>Tuile faible galbe / aspect plat</v>
      </c>
      <c r="K15" s="2" t="str">
        <f t="shared" ref="K15:O15" si="3">K2</f>
        <v>Tuile fort galbe</v>
      </c>
      <c r="L15" s="2" t="str">
        <f t="shared" si="3"/>
        <v>Ardoise</v>
      </c>
      <c r="M15" s="2" t="str">
        <f t="shared" si="3"/>
        <v>Tuile plate</v>
      </c>
      <c r="N15" s="2" t="str">
        <f t="shared" si="3"/>
        <v>Fibrociment</v>
      </c>
      <c r="O15" s="2" t="str">
        <f t="shared" si="3"/>
        <v>Bac trapézoïdale</v>
      </c>
      <c r="Q15" s="1" t="s">
        <v>18</v>
      </c>
    </row>
    <row r="16" spans="1:17" x14ac:dyDescent="0.3">
      <c r="A16">
        <v>1</v>
      </c>
      <c r="B16" s="151" t="str">
        <f t="shared" ref="B16:B21" si="4">IFERROR(HLOOKUP(choix_couv,$J$15:$O$21,$A16+1,FALSE),"")</f>
        <v xml:space="preserve">ISY-Rail v1 + EPDM + 4 Vis </v>
      </c>
      <c r="C16" s="714"/>
      <c r="D16" s="715"/>
      <c r="E16" s="715"/>
      <c r="F16" s="715"/>
      <c r="G16" s="716"/>
      <c r="H16" s="716"/>
      <c r="J16" s="15" t="str">
        <f t="shared" ref="J16:O21" si="5">IFERROR(INDEX(Support_rail,MATCH($A16,J$3:J$13,0)),"")</f>
        <v/>
      </c>
      <c r="K16" s="15" t="str">
        <f t="shared" si="5"/>
        <v/>
      </c>
      <c r="L16" s="15" t="str">
        <f t="shared" si="5"/>
        <v/>
      </c>
      <c r="M16" s="15" t="str">
        <f t="shared" si="5"/>
        <v/>
      </c>
      <c r="N16" s="15" t="str">
        <f t="shared" si="5"/>
        <v>Tire-fond métal M10x160 - ISY-PV</v>
      </c>
      <c r="O16" s="15" t="str">
        <f t="shared" si="5"/>
        <v xml:space="preserve">ISY-Rail v1 + EPDM + 4 Vis </v>
      </c>
      <c r="P16" t="s">
        <v>104</v>
      </c>
    </row>
    <row r="17" spans="1:23" x14ac:dyDescent="0.3">
      <c r="A17">
        <v>2</v>
      </c>
      <c r="B17" s="151" t="str">
        <f t="shared" si="4"/>
        <v>ISY-Rail v2 - L385 + EPDM + 4 vis</v>
      </c>
      <c r="C17" s="717"/>
      <c r="D17" s="718"/>
      <c r="E17" s="718"/>
      <c r="F17" s="718"/>
      <c r="G17" s="719"/>
      <c r="H17" s="719"/>
      <c r="J17" s="15" t="str">
        <f t="shared" si="5"/>
        <v/>
      </c>
      <c r="K17" s="15" t="str">
        <f t="shared" si="5"/>
        <v/>
      </c>
      <c r="L17" s="15" t="str">
        <f t="shared" si="5"/>
        <v/>
      </c>
      <c r="M17" s="15" t="str">
        <f t="shared" si="5"/>
        <v/>
      </c>
      <c r="N17" s="15" t="str">
        <f t="shared" si="5"/>
        <v/>
      </c>
      <c r="O17" s="15" t="str">
        <f t="shared" si="5"/>
        <v>ISY-Rail v2 - L385 + EPDM + 4 vis</v>
      </c>
    </row>
    <row r="18" spans="1:23" x14ac:dyDescent="0.3">
      <c r="A18">
        <v>3</v>
      </c>
      <c r="B18" s="151" t="str">
        <f t="shared" si="4"/>
        <v/>
      </c>
      <c r="C18" s="717"/>
      <c r="D18" s="718"/>
      <c r="E18" s="718"/>
      <c r="F18" s="718"/>
      <c r="G18" s="719"/>
      <c r="H18" s="719"/>
      <c r="J18" s="15" t="str">
        <f t="shared" si="5"/>
        <v/>
      </c>
      <c r="K18" s="15" t="str">
        <f t="shared" si="5"/>
        <v/>
      </c>
      <c r="L18" s="15" t="str">
        <f t="shared" si="5"/>
        <v/>
      </c>
      <c r="M18" s="15" t="str">
        <f t="shared" si="5"/>
        <v/>
      </c>
      <c r="N18" s="15" t="str">
        <f t="shared" si="5"/>
        <v/>
      </c>
      <c r="O18" s="15" t="str">
        <f t="shared" si="5"/>
        <v/>
      </c>
    </row>
    <row r="19" spans="1:23" x14ac:dyDescent="0.3">
      <c r="A19">
        <v>4</v>
      </c>
      <c r="B19" s="151" t="str">
        <f t="shared" si="4"/>
        <v/>
      </c>
      <c r="C19" s="717"/>
      <c r="D19" s="718"/>
      <c r="E19" s="720"/>
      <c r="F19" s="718"/>
      <c r="G19" s="719"/>
      <c r="H19" s="719"/>
      <c r="J19" s="15" t="str">
        <f t="shared" si="5"/>
        <v/>
      </c>
      <c r="K19" s="15" t="str">
        <f t="shared" si="5"/>
        <v/>
      </c>
      <c r="L19" s="15" t="str">
        <f t="shared" si="5"/>
        <v/>
      </c>
      <c r="M19" s="15" t="str">
        <f t="shared" si="5"/>
        <v/>
      </c>
      <c r="N19" s="15" t="str">
        <f t="shared" si="5"/>
        <v/>
      </c>
      <c r="O19" s="15" t="str">
        <f t="shared" si="5"/>
        <v/>
      </c>
    </row>
    <row r="20" spans="1:23" x14ac:dyDescent="0.3">
      <c r="A20">
        <v>5</v>
      </c>
      <c r="B20" s="151" t="str">
        <f t="shared" si="4"/>
        <v/>
      </c>
      <c r="C20" s="717"/>
      <c r="D20" s="718"/>
      <c r="E20" s="720"/>
      <c r="F20" s="718"/>
      <c r="G20" s="719"/>
      <c r="H20" s="719"/>
      <c r="J20" s="15" t="str">
        <f t="shared" si="5"/>
        <v/>
      </c>
      <c r="K20" s="15" t="str">
        <f t="shared" si="5"/>
        <v/>
      </c>
      <c r="L20" s="15" t="str">
        <f t="shared" si="5"/>
        <v/>
      </c>
      <c r="M20" s="15" t="str">
        <f t="shared" si="5"/>
        <v/>
      </c>
      <c r="N20" s="15" t="str">
        <f t="shared" si="5"/>
        <v/>
      </c>
      <c r="O20" s="15" t="str">
        <f t="shared" si="5"/>
        <v/>
      </c>
    </row>
    <row r="21" spans="1:23" x14ac:dyDescent="0.3">
      <c r="A21">
        <v>6</v>
      </c>
      <c r="B21" s="151" t="str">
        <f t="shared" si="4"/>
        <v/>
      </c>
      <c r="C21" s="721"/>
      <c r="D21" s="722"/>
      <c r="E21" s="722"/>
      <c r="F21" s="722"/>
      <c r="G21" s="723"/>
      <c r="H21" s="723"/>
      <c r="J21" s="15" t="str">
        <f t="shared" si="5"/>
        <v/>
      </c>
      <c r="K21" s="15" t="str">
        <f t="shared" si="5"/>
        <v/>
      </c>
      <c r="L21" s="15" t="str">
        <f t="shared" si="5"/>
        <v/>
      </c>
      <c r="M21" s="15" t="str">
        <f t="shared" si="5"/>
        <v/>
      </c>
      <c r="N21" s="15" t="str">
        <f t="shared" si="5"/>
        <v/>
      </c>
      <c r="O21" s="15" t="str">
        <f t="shared" si="5"/>
        <v/>
      </c>
    </row>
    <row r="23" spans="1:23" x14ac:dyDescent="0.3">
      <c r="B23" s="18" t="s">
        <v>21</v>
      </c>
      <c r="C23" s="19" t="str">
        <f>C$2</f>
        <v>Tuile faible galbe / aspect plat</v>
      </c>
      <c r="D23" s="16" t="str">
        <f t="shared" ref="D23:H23" si="6">D$2</f>
        <v>Tuile fort galbe</v>
      </c>
      <c r="E23" s="16" t="str">
        <f t="shared" si="6"/>
        <v>Ardoise</v>
      </c>
      <c r="F23" s="16" t="str">
        <f t="shared" si="6"/>
        <v>Tuile plate</v>
      </c>
      <c r="G23" s="17" t="str">
        <f t="shared" si="6"/>
        <v>Fibrociment</v>
      </c>
      <c r="H23" s="17" t="str">
        <f t="shared" si="6"/>
        <v>Bac trapézoïdale</v>
      </c>
      <c r="J23" s="14"/>
      <c r="K23" s="14"/>
      <c r="L23" s="14"/>
      <c r="M23" s="14"/>
      <c r="N23" s="150"/>
      <c r="O23" s="14"/>
      <c r="P23" s="813" t="str">
        <f>G23</f>
        <v>Fibrociment</v>
      </c>
      <c r="Q23" s="813"/>
      <c r="R23" s="813"/>
      <c r="S23" s="814"/>
      <c r="T23" s="463" t="s">
        <v>25</v>
      </c>
      <c r="U23" s="464" t="s">
        <v>26</v>
      </c>
      <c r="V23" s="462" t="s">
        <v>27</v>
      </c>
    </row>
    <row r="24" spans="1:23" x14ac:dyDescent="0.3">
      <c r="A24" s="23" t="s">
        <v>22</v>
      </c>
      <c r="B24" s="24">
        <f>IFERROR(ROUNDUP(HLOOKUP(choix_couv,Dom_emploi,2,FALSE)+DEGREES(ATAN(6/100)),1),"")</f>
        <v>5</v>
      </c>
      <c r="C24" s="485">
        <v>10</v>
      </c>
      <c r="D24" s="4">
        <v>10</v>
      </c>
      <c r="E24" s="4">
        <v>10</v>
      </c>
      <c r="F24" s="4">
        <v>10</v>
      </c>
      <c r="G24" s="42">
        <v>5.7</v>
      </c>
      <c r="H24" s="42">
        <v>1.5</v>
      </c>
      <c r="N24" t="b">
        <f>pente&lt;=$R24</f>
        <v>0</v>
      </c>
      <c r="P24" s="33">
        <v>9</v>
      </c>
      <c r="Q24" s="34">
        <v>10</v>
      </c>
      <c r="R24" s="30">
        <f>DEGREES(ATAN(P24/100))</f>
        <v>5.1427645578842416</v>
      </c>
      <c r="S24" s="27">
        <f>DEGREES(ATAN(Q24/100))</f>
        <v>5.710593137499643</v>
      </c>
      <c r="T24" s="469">
        <v>15</v>
      </c>
      <c r="U24" s="471">
        <v>12</v>
      </c>
      <c r="V24" s="459">
        <v>10</v>
      </c>
      <c r="W24" s="461" t="s">
        <v>389</v>
      </c>
    </row>
    <row r="25" spans="1:23" x14ac:dyDescent="0.3">
      <c r="A25" s="23" t="s">
        <v>23</v>
      </c>
      <c r="B25" s="25">
        <f>IFERROR(ROUNDUP(HLOOKUP(choix_couv,Dom_emploi,3,FALSE),1),"")</f>
        <v>60</v>
      </c>
      <c r="C25" s="5">
        <v>50</v>
      </c>
      <c r="D25" s="6">
        <v>50</v>
      </c>
      <c r="E25" s="6">
        <v>60</v>
      </c>
      <c r="F25" s="6">
        <v>50</v>
      </c>
      <c r="G25" s="7">
        <v>60</v>
      </c>
      <c r="H25" s="7">
        <v>60</v>
      </c>
      <c r="N25" t="b">
        <f>pente&lt;=$R25</f>
        <v>0</v>
      </c>
      <c r="P25" s="35">
        <v>10</v>
      </c>
      <c r="Q25" s="36">
        <v>13</v>
      </c>
      <c r="R25" s="31">
        <f t="shared" ref="R25:S26" si="7">DEGREES(ATAN(P25/100))</f>
        <v>5.710593137499643</v>
      </c>
      <c r="S25" s="28">
        <f t="shared" si="7"/>
        <v>7.4069121284952297</v>
      </c>
      <c r="T25" s="470">
        <v>20</v>
      </c>
      <c r="U25" s="472">
        <v>15</v>
      </c>
      <c r="V25" s="460">
        <v>12</v>
      </c>
    </row>
    <row r="26" spans="1:23" x14ac:dyDescent="0.3">
      <c r="A26" s="23" t="s">
        <v>24</v>
      </c>
      <c r="B26" s="26">
        <f>IFERROR(ROUNDUP(HLOOKUP(choix_couv,Dom_emploi,4,FALSE),1),"")</f>
        <v>35</v>
      </c>
      <c r="C26" s="8">
        <v>12</v>
      </c>
      <c r="D26" s="9">
        <v>12</v>
      </c>
      <c r="E26" s="9">
        <v>12</v>
      </c>
      <c r="F26" s="9">
        <v>12</v>
      </c>
      <c r="G26" s="10">
        <f>VLOOKUP(TRUE,$N$24:$V$29,8,FALSE)</f>
        <v>35</v>
      </c>
      <c r="H26" s="10">
        <f>VLOOKUP(TRUE,$N$24:$V$29,8,FALSE)</f>
        <v>35</v>
      </c>
      <c r="N26" t="b">
        <f>pente&lt;=$R26</f>
        <v>0</v>
      </c>
      <c r="P26" s="35">
        <v>13</v>
      </c>
      <c r="Q26" s="36">
        <v>16</v>
      </c>
      <c r="R26" s="31">
        <f t="shared" si="7"/>
        <v>7.4069121284952297</v>
      </c>
      <c r="S26" s="28">
        <f t="shared" si="7"/>
        <v>9.0902769208223226</v>
      </c>
      <c r="T26" s="470">
        <v>25</v>
      </c>
      <c r="U26" s="472">
        <v>20</v>
      </c>
      <c r="V26" s="460">
        <v>15</v>
      </c>
    </row>
    <row r="27" spans="1:23" x14ac:dyDescent="0.3">
      <c r="A27" s="23"/>
      <c r="B27" s="474"/>
      <c r="C27" s="316"/>
      <c r="N27" t="b">
        <f>pente&lt;=$R27</f>
        <v>0</v>
      </c>
      <c r="P27" s="35">
        <v>16</v>
      </c>
      <c r="Q27" s="36">
        <v>21</v>
      </c>
      <c r="R27" s="31">
        <f>DEGREES(ATAN(P27/100))</f>
        <v>9.0902769208223226</v>
      </c>
      <c r="S27" s="28">
        <f>DEGREES(ATAN(Q27/100))</f>
        <v>11.859779120947978</v>
      </c>
      <c r="T27" s="465">
        <v>30</v>
      </c>
      <c r="U27" s="472">
        <v>25</v>
      </c>
      <c r="V27" s="460">
        <v>20</v>
      </c>
    </row>
    <row r="28" spans="1:23" x14ac:dyDescent="0.3">
      <c r="A28" s="23"/>
      <c r="B28" s="475"/>
      <c r="N28" t="b">
        <f>pente&lt;=$R28</f>
        <v>0</v>
      </c>
      <c r="P28" s="35">
        <v>21</v>
      </c>
      <c r="Q28" s="36">
        <v>26</v>
      </c>
      <c r="R28" s="31">
        <f>DEGREES(ATAN(P28/100))</f>
        <v>11.859779120947978</v>
      </c>
      <c r="S28" s="28">
        <f>DEGREES(ATAN(Q28/100))</f>
        <v>14.574216198038739</v>
      </c>
      <c r="T28" s="465">
        <v>35</v>
      </c>
      <c r="U28" s="466">
        <v>30</v>
      </c>
      <c r="V28" s="460">
        <v>25</v>
      </c>
    </row>
    <row r="29" spans="1:23" x14ac:dyDescent="0.3">
      <c r="N29" t="b">
        <f>TRUE</f>
        <v>1</v>
      </c>
      <c r="P29" s="37">
        <v>26</v>
      </c>
      <c r="Q29" s="38"/>
      <c r="R29" s="32">
        <f>DEGREES(ATAN(P29/100))</f>
        <v>14.574216198038739</v>
      </c>
      <c r="S29" s="29">
        <v>60</v>
      </c>
      <c r="T29" s="467">
        <v>40</v>
      </c>
      <c r="U29" s="468">
        <v>35</v>
      </c>
      <c r="V29" s="10">
        <v>30</v>
      </c>
    </row>
    <row r="30" spans="1:23" x14ac:dyDescent="0.3">
      <c r="B30" s="18" t="s">
        <v>33</v>
      </c>
      <c r="C30" s="19" t="str">
        <f>C$2</f>
        <v>Tuile faible galbe / aspect plat</v>
      </c>
      <c r="D30" s="16" t="str">
        <f t="shared" ref="D30:H30" si="8">D$2</f>
        <v>Tuile fort galbe</v>
      </c>
      <c r="E30" s="16" t="str">
        <f t="shared" si="8"/>
        <v>Ardoise</v>
      </c>
      <c r="F30" s="16" t="str">
        <f t="shared" si="8"/>
        <v>Tuile plate</v>
      </c>
      <c r="G30" s="17" t="str">
        <f t="shared" si="8"/>
        <v>Fibrociment</v>
      </c>
      <c r="H30" s="17" t="str">
        <f t="shared" si="8"/>
        <v>Bac trapézoïdale</v>
      </c>
    </row>
    <row r="31" spans="1:23" x14ac:dyDescent="0.3">
      <c r="A31">
        <v>1</v>
      </c>
      <c r="B31" s="151" t="str">
        <f>IFERROR(HLOOKUP(choix_couv,$C$30:$H$33,$A31+1,FALSE),"")</f>
        <v>Portrait - ISY-RAIL</v>
      </c>
      <c r="C31" s="476" t="str">
        <f>Données!$H$4</f>
        <v>Portrait - Rail horizontal</v>
      </c>
      <c r="D31" s="477" t="str">
        <f>Données!$H$4</f>
        <v>Portrait - Rail horizontal</v>
      </c>
      <c r="E31" s="477" t="str">
        <f>Données!$H$4</f>
        <v>Portrait - Rail horizontal</v>
      </c>
      <c r="F31" s="477" t="str">
        <f>Données!$H$4</f>
        <v>Portrait - Rail horizontal</v>
      </c>
      <c r="G31" s="478" t="str">
        <f>Données!$H$7</f>
        <v>Paysage - Rail vertical</v>
      </c>
      <c r="H31" s="478" t="str">
        <f>Données!$H$8</f>
        <v>Portrait - ISY-RAIL</v>
      </c>
    </row>
    <row r="32" spans="1:23" x14ac:dyDescent="0.3">
      <c r="A32">
        <v>2</v>
      </c>
      <c r="B32" s="151" t="str">
        <f>IFERROR(HLOOKUP(choix_couv,$C$30:$H$33,$A32+1,FALSE),"")</f>
        <v>Paysage - ISY-RAIL</v>
      </c>
      <c r="C32" s="479" t="str">
        <f>Données!$H$5</f>
        <v>Paysage - Rail horizontal</v>
      </c>
      <c r="D32" s="480" t="str">
        <f>Données!$H$5</f>
        <v>Paysage - Rail horizontal</v>
      </c>
      <c r="E32" s="480" t="str">
        <f>Données!$H$5</f>
        <v>Paysage - Rail horizontal</v>
      </c>
      <c r="F32" s="480" t="str">
        <f>Données!$H$5</f>
        <v>Paysage - Rail horizontal</v>
      </c>
      <c r="G32" s="481" t="s">
        <v>104</v>
      </c>
      <c r="H32" s="481" t="str">
        <f>Données!$H$9</f>
        <v>Paysage - ISY-RAIL</v>
      </c>
    </row>
    <row r="33" spans="1:15" x14ac:dyDescent="0.3">
      <c r="A33">
        <v>3</v>
      </c>
      <c r="B33" s="151" t="str">
        <f>IFERROR(HLOOKUP(choix_couv,$C$30:$H$33,$A33+1,FALSE),"")</f>
        <v xml:space="preserve"> </v>
      </c>
      <c r="C33" s="482" t="str">
        <f>Données!$H$6</f>
        <v>Paysage - Rail Croisé</v>
      </c>
      <c r="D33" s="483" t="str">
        <f>Données!$H$6</f>
        <v>Paysage - Rail Croisé</v>
      </c>
      <c r="E33" s="483" t="str">
        <f>Données!$H$6</f>
        <v>Paysage - Rail Croisé</v>
      </c>
      <c r="F33" s="483" t="str">
        <f>Données!$H$6</f>
        <v>Paysage - Rail Croisé</v>
      </c>
      <c r="G33" s="484" t="s">
        <v>104</v>
      </c>
      <c r="H33" s="484" t="s">
        <v>104</v>
      </c>
    </row>
    <row r="37" spans="1:15" x14ac:dyDescent="0.3">
      <c r="B37" s="1" t="s">
        <v>398</v>
      </c>
      <c r="C37" s="19" t="str">
        <f>C$2</f>
        <v>Tuile faible galbe / aspect plat</v>
      </c>
      <c r="D37" s="16" t="str">
        <f t="shared" ref="D37:H37" si="9">D$2</f>
        <v>Tuile fort galbe</v>
      </c>
      <c r="E37" s="16" t="str">
        <f t="shared" si="9"/>
        <v>Ardoise</v>
      </c>
      <c r="F37" s="16" t="str">
        <f t="shared" si="9"/>
        <v>Tuile plate</v>
      </c>
      <c r="G37" s="486" t="str">
        <f t="shared" si="9"/>
        <v>Fibrociment</v>
      </c>
      <c r="H37" s="486" t="str">
        <f t="shared" si="9"/>
        <v>Bac trapézoïdale</v>
      </c>
      <c r="J37" t="s">
        <v>104</v>
      </c>
    </row>
    <row r="38" spans="1:15" x14ac:dyDescent="0.3">
      <c r="A38">
        <v>1</v>
      </c>
      <c r="B38" s="491" t="str">
        <f>IFERROR(HLOOKUP(choix_couv,$C$37:$I$41,$A38+1,FALSE),"")</f>
        <v>Bois Indust. (pannes)</v>
      </c>
      <c r="C38" s="476" t="str">
        <f>Données!$C$11</f>
        <v>Bois Tradit. (chevrons)</v>
      </c>
      <c r="D38" s="477" t="str">
        <f>Données!$C$11</f>
        <v>Bois Tradit. (chevrons)</v>
      </c>
      <c r="E38" s="477" t="str">
        <f>Données!$C$11</f>
        <v>Bois Tradit. (chevrons)</v>
      </c>
      <c r="F38" s="477" t="str">
        <f>Données!$C$11</f>
        <v>Bois Tradit. (chevrons)</v>
      </c>
      <c r="G38" s="487" t="str">
        <f>Données!$E$11</f>
        <v>Bois Indust. (pannes)</v>
      </c>
      <c r="H38" s="487" t="str">
        <f>Données!$E$11</f>
        <v>Bois Indust. (pannes)</v>
      </c>
    </row>
    <row r="39" spans="1:15" x14ac:dyDescent="0.3">
      <c r="A39">
        <v>2</v>
      </c>
      <c r="B39" s="492" t="str">
        <f>IFERROR(HLOOKUP(choix_couv,$C$37:$I$41,$A39+1,FALSE),"")</f>
        <v>Métal Indust. (pannes)</v>
      </c>
      <c r="C39" s="479" t="str">
        <f>Données!$D$11</f>
        <v>Bois Indust. (fermettes)</v>
      </c>
      <c r="D39" s="480" t="str">
        <f>Données!$D$11</f>
        <v>Bois Indust. (fermettes)</v>
      </c>
      <c r="E39" s="480" t="str">
        <f>Données!$D$11</f>
        <v>Bois Indust. (fermettes)</v>
      </c>
      <c r="F39" s="480" t="str">
        <f>Données!$D$11</f>
        <v>Bois Indust. (fermettes)</v>
      </c>
      <c r="G39" s="488" t="str">
        <f>Données!$F$11</f>
        <v>Métal Indust. (pannes)</v>
      </c>
      <c r="H39" s="488" t="str">
        <f>Données!$F$11</f>
        <v>Métal Indust. (pannes)</v>
      </c>
    </row>
    <row r="40" spans="1:15" x14ac:dyDescent="0.3">
      <c r="A40">
        <v>3</v>
      </c>
      <c r="B40" s="702">
        <f>IFERROR(HLOOKUP(choix_couv,$C$37:$I$41,$A40+1,FALSE),"")</f>
        <v>0</v>
      </c>
      <c r="C40" s="5"/>
      <c r="D40" s="6"/>
      <c r="E40" s="6"/>
      <c r="F40" s="6"/>
      <c r="G40" s="489"/>
      <c r="H40" s="489"/>
    </row>
    <row r="41" spans="1:15" x14ac:dyDescent="0.3">
      <c r="A41">
        <v>4</v>
      </c>
      <c r="B41" s="703">
        <f>IFERROR(HLOOKUP(choix_couv,$C$37:$I$41,$A41+1,FALSE),"")</f>
        <v>0</v>
      </c>
      <c r="C41" s="8"/>
      <c r="D41" s="9"/>
      <c r="E41" s="9"/>
      <c r="F41" s="9"/>
      <c r="G41" s="490"/>
      <c r="H41" s="490"/>
    </row>
    <row r="43" spans="1:15" ht="25.2" customHeight="1" x14ac:dyDescent="0.3">
      <c r="B43" t="s">
        <v>68</v>
      </c>
      <c r="C43" s="247" t="str" cm="1">
        <f t="array" ref="C43:M43">TRANSPOSE(Support_rail)</f>
        <v>Crochet standard réglable - ISY-PV</v>
      </c>
      <c r="D43" s="247" t="str">
        <v>Crochet ardoises - ISY-PV</v>
      </c>
      <c r="E43" s="247" t="str">
        <v>Crochet ardoises compact Black Finish - ISY-PV</v>
      </c>
      <c r="F43" s="247" t="str">
        <v>Crochets tuiles plates - ISY-PV</v>
      </c>
      <c r="G43" s="247" t="str">
        <v>Tire-Fond bois M10 x 200 - ISY-PV</v>
      </c>
      <c r="H43" s="247" t="str">
        <v>Tire-Fond bois M10 x 250- ISY-PV</v>
      </c>
      <c r="I43" s="247" t="str">
        <v>Tire-Fond bois M12 x 300- ISY-PV</v>
      </c>
      <c r="J43" s="247" t="str">
        <v>Tire-fond métal M10x160 - ISY-PV</v>
      </c>
      <c r="K43" s="247" t="str">
        <v>Crochets Standard TMH - ISY-PV</v>
      </c>
      <c r="L43" s="580" t="str">
        <v xml:space="preserve">ISY-Rail v1 + EPDM + 4 Vis </v>
      </c>
      <c r="M43" s="580" t="str">
        <v>ISY-Rail v2 - L385 + EPDM + 4 vis</v>
      </c>
    </row>
    <row r="44" spans="1:15" x14ac:dyDescent="0.3">
      <c r="A44">
        <v>1</v>
      </c>
      <c r="B44" s="704">
        <f>IFERROR(HLOOKUP(Choix_croch,$C$43:$M$47,$A44+1,FALSE),"")</f>
        <v>0.38500000000000001</v>
      </c>
      <c r="C44" s="2">
        <f>1.2</f>
        <v>1.2</v>
      </c>
      <c r="D44" s="2">
        <f t="shared" ref="D44:K44" si="10">1.2</f>
        <v>1.2</v>
      </c>
      <c r="E44" s="2">
        <f t="shared" si="10"/>
        <v>1.2</v>
      </c>
      <c r="F44" s="2">
        <f t="shared" si="10"/>
        <v>1.2</v>
      </c>
      <c r="G44" s="2">
        <f t="shared" si="10"/>
        <v>1.2</v>
      </c>
      <c r="H44" s="2">
        <f t="shared" si="10"/>
        <v>1.2</v>
      </c>
      <c r="I44" s="2">
        <f t="shared" si="10"/>
        <v>1.2</v>
      </c>
      <c r="J44" s="2">
        <f t="shared" si="10"/>
        <v>1.2</v>
      </c>
      <c r="K44" s="2">
        <f t="shared" si="10"/>
        <v>1.2</v>
      </c>
      <c r="L44" s="2">
        <v>0.4</v>
      </c>
      <c r="M44" s="2">
        <v>0.38500000000000001</v>
      </c>
      <c r="O44" s="293"/>
    </row>
    <row r="45" spans="1:15" x14ac:dyDescent="0.3">
      <c r="A45">
        <v>2</v>
      </c>
      <c r="B45" s="704">
        <f>IFERROR(HLOOKUP(Choix_croch,$C$43:$M$47,$A45+1,FALSE),"")</f>
        <v>0</v>
      </c>
      <c r="C45" s="2">
        <v>2.4</v>
      </c>
      <c r="D45" s="2">
        <v>2.4</v>
      </c>
      <c r="E45" s="2">
        <v>2.4</v>
      </c>
      <c r="F45" s="2">
        <v>2.4</v>
      </c>
      <c r="G45" s="2">
        <v>2.4</v>
      </c>
      <c r="H45" s="2">
        <v>2.4</v>
      </c>
      <c r="I45" s="2">
        <v>2.4</v>
      </c>
      <c r="J45" s="2">
        <v>2.4</v>
      </c>
      <c r="K45" s="2">
        <v>2.4</v>
      </c>
      <c r="L45" s="1"/>
      <c r="M45" s="2"/>
    </row>
    <row r="46" spans="1:15" x14ac:dyDescent="0.3">
      <c r="A46">
        <v>3</v>
      </c>
      <c r="B46" s="704">
        <f>IFERROR(HLOOKUP(Choix_croch,$C$43:$M$47,$A46+1,FALSE),"")</f>
        <v>0</v>
      </c>
      <c r="C46" s="2">
        <v>3.6</v>
      </c>
      <c r="D46" s="2">
        <v>3.6</v>
      </c>
      <c r="E46" s="2">
        <v>3.6</v>
      </c>
      <c r="F46" s="2">
        <v>3.6</v>
      </c>
      <c r="G46" s="2">
        <v>3.6</v>
      </c>
      <c r="H46" s="2">
        <v>3.6</v>
      </c>
      <c r="I46" s="2">
        <v>3.6</v>
      </c>
      <c r="J46" s="2">
        <v>3.6</v>
      </c>
      <c r="K46" s="2">
        <v>3.6</v>
      </c>
      <c r="L46" s="1"/>
      <c r="M46" s="1"/>
    </row>
    <row r="47" spans="1:15" x14ac:dyDescent="0.3">
      <c r="A47">
        <v>4</v>
      </c>
      <c r="B47" s="704">
        <f>IFERROR(HLOOKUP(Choix_croch,$C$43:$M$47,$A47+1,FALSE),"")</f>
        <v>0</v>
      </c>
      <c r="C47" s="2">
        <v>4.8</v>
      </c>
      <c r="D47" s="2">
        <v>4.8</v>
      </c>
      <c r="E47" s="2">
        <v>4.8</v>
      </c>
      <c r="F47" s="2">
        <v>4.8</v>
      </c>
      <c r="G47" s="2">
        <v>4.8</v>
      </c>
      <c r="H47" s="2">
        <v>4.8</v>
      </c>
      <c r="I47" s="2">
        <v>4.8</v>
      </c>
      <c r="J47" s="2">
        <v>4.8</v>
      </c>
      <c r="K47" s="2">
        <v>4.8</v>
      </c>
      <c r="L47" s="1"/>
      <c r="M47" s="1"/>
    </row>
    <row r="49" spans="1:8" x14ac:dyDescent="0.3">
      <c r="B49" t="s">
        <v>456</v>
      </c>
      <c r="C49" s="2" t="str">
        <f>C$2</f>
        <v>Tuile faible galbe / aspect plat</v>
      </c>
      <c r="D49" s="2" t="str">
        <f t="shared" ref="D49:H49" si="11">D$2</f>
        <v>Tuile fort galbe</v>
      </c>
      <c r="E49" s="2" t="str">
        <f t="shared" si="11"/>
        <v>Ardoise</v>
      </c>
      <c r="F49" s="2" t="str">
        <f t="shared" si="11"/>
        <v>Tuile plate</v>
      </c>
      <c r="G49" s="2" t="str">
        <f t="shared" si="11"/>
        <v>Fibrociment</v>
      </c>
      <c r="H49" s="2" t="str">
        <f t="shared" si="11"/>
        <v>Bac trapézoïdale</v>
      </c>
    </row>
    <row r="50" spans="1:8" x14ac:dyDescent="0.3">
      <c r="A50">
        <v>1</v>
      </c>
      <c r="B50" s="578">
        <f>IFERROR(HLOOKUP(choix_couv,$C$49:$M$53,$A50+1,FALSE),"")</f>
        <v>250</v>
      </c>
      <c r="C50" s="15"/>
      <c r="D50" s="15"/>
      <c r="E50" s="15"/>
      <c r="F50" s="15"/>
      <c r="G50" s="15"/>
      <c r="H50" s="15">
        <v>250</v>
      </c>
    </row>
    <row r="51" spans="1:8" x14ac:dyDescent="0.3">
      <c r="A51">
        <v>2</v>
      </c>
      <c r="B51" s="578">
        <f>IFERROR(HLOOKUP(choix_couv,$C$49:$M$53,$A51+1,FALSE),"")</f>
        <v>333.33</v>
      </c>
      <c r="C51" s="15"/>
      <c r="D51" s="15"/>
      <c r="E51" s="15"/>
      <c r="F51" s="15"/>
      <c r="G51" s="15"/>
      <c r="H51" s="15">
        <v>333.33</v>
      </c>
    </row>
    <row r="52" spans="1:8" x14ac:dyDescent="0.3">
      <c r="A52">
        <v>3</v>
      </c>
      <c r="B52" s="578" t="str">
        <f>IFERROR(HLOOKUP(choix_couv,$C$49:$M$53,$A52+1,FALSE),"")</f>
        <v xml:space="preserve"> </v>
      </c>
      <c r="C52" s="2"/>
      <c r="D52" s="2"/>
      <c r="E52" s="2"/>
      <c r="F52" s="2"/>
      <c r="G52" s="2"/>
      <c r="H52" s="2" t="s">
        <v>104</v>
      </c>
    </row>
    <row r="53" spans="1:8" x14ac:dyDescent="0.3">
      <c r="A53">
        <v>4</v>
      </c>
      <c r="B53" s="578" t="str">
        <f>IFERROR(HLOOKUP(choix_couv,$C$49:$M$53,$A53+1,FALSE),"")</f>
        <v xml:space="preserve"> </v>
      </c>
      <c r="C53" s="2"/>
      <c r="D53" s="2"/>
      <c r="E53" s="2"/>
      <c r="F53" s="2"/>
      <c r="G53" s="2"/>
      <c r="H53" s="2" t="s">
        <v>104</v>
      </c>
    </row>
  </sheetData>
  <sheetProtection selectLockedCells="1"/>
  <mergeCells count="1">
    <mergeCell ref="P23:S23"/>
  </mergeCells>
  <pageMargins left="0.7" right="0.7" top="0.75" bottom="0.75" header="0.3" footer="0.3"/>
  <pageSetup paperSize="9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F924F-3526-46D0-B716-06D22E60CFC4}">
  <sheetPr codeName="Sheet1"/>
  <dimension ref="A2:G31"/>
  <sheetViews>
    <sheetView workbookViewId="0"/>
  </sheetViews>
  <sheetFormatPr baseColWidth="10" defaultColWidth="11.5546875" defaultRowHeight="14.4" x14ac:dyDescent="0.3"/>
  <cols>
    <col min="1" max="1" width="15" customWidth="1"/>
    <col min="2" max="2" width="19.6640625" customWidth="1"/>
    <col min="3" max="3" width="20.109375" customWidth="1"/>
    <col min="4" max="4" width="5.33203125" customWidth="1"/>
    <col min="5" max="6" width="10.6640625" customWidth="1"/>
    <col min="7" max="7" width="10.88671875" bestFit="1" customWidth="1"/>
  </cols>
  <sheetData>
    <row r="2" spans="1:7" x14ac:dyDescent="0.3">
      <c r="A2" s="215" t="s">
        <v>329</v>
      </c>
    </row>
    <row r="3" spans="1:7" ht="9" customHeight="1" x14ac:dyDescent="0.3"/>
    <row r="4" spans="1:7" ht="18" x14ac:dyDescent="0.35">
      <c r="A4" s="558"/>
      <c r="B4" s="148"/>
      <c r="C4" s="23" t="s">
        <v>107</v>
      </c>
      <c r="D4" s="346"/>
      <c r="E4" s="146"/>
      <c r="F4" s="146"/>
      <c r="G4" t="s">
        <v>405</v>
      </c>
    </row>
    <row r="5" spans="1:7" ht="15.6" x14ac:dyDescent="0.3">
      <c r="A5" s="559"/>
      <c r="B5" s="148"/>
      <c r="C5" s="23" t="s">
        <v>108</v>
      </c>
      <c r="D5" s="560" t="s">
        <v>404</v>
      </c>
      <c r="E5" s="561"/>
      <c r="F5" s="561"/>
    </row>
    <row r="6" spans="1:7" ht="15.6" x14ac:dyDescent="0.3">
      <c r="A6" s="559"/>
      <c r="B6" s="148"/>
      <c r="D6" s="348" t="s">
        <v>404</v>
      </c>
      <c r="E6" s="562"/>
      <c r="F6" s="562"/>
    </row>
    <row r="7" spans="1:7" x14ac:dyDescent="0.3">
      <c r="A7" s="133"/>
      <c r="C7" s="23" t="s">
        <v>113</v>
      </c>
      <c r="D7" s="347"/>
      <c r="E7" s="170"/>
      <c r="F7" s="170"/>
    </row>
    <row r="8" spans="1:7" x14ac:dyDescent="0.3">
      <c r="D8" s="348"/>
      <c r="E8" s="148"/>
      <c r="F8" s="148"/>
    </row>
    <row r="9" spans="1:7" x14ac:dyDescent="0.3">
      <c r="A9" s="134"/>
      <c r="D9" s="349"/>
      <c r="E9" s="147"/>
      <c r="F9" s="147"/>
    </row>
    <row r="10" spans="1:7" x14ac:dyDescent="0.3">
      <c r="A10" s="143" t="s">
        <v>4</v>
      </c>
      <c r="B10" s="169" t="str">
        <f>choix_couv</f>
        <v>Bac trapézoïdale</v>
      </c>
      <c r="D10" s="140"/>
    </row>
    <row r="11" spans="1:7" x14ac:dyDescent="0.3">
      <c r="A11" s="143" t="s">
        <v>115</v>
      </c>
      <c r="B11" s="169" t="str">
        <f>mod_haut&amp;" x "&amp;mod_larg&amp;" x "&amp;mod_ep&amp;" mm"</f>
        <v>1762 x 1134 x 30 mm</v>
      </c>
      <c r="D11" s="140"/>
    </row>
    <row r="12" spans="1:7" x14ac:dyDescent="0.3">
      <c r="A12" s="143" t="s">
        <v>116</v>
      </c>
      <c r="B12" s="169" t="str">
        <f>nb_ligne&amp;" L x "&amp;nb_colonne&amp;" C"</f>
        <v>2 L x 6 C</v>
      </c>
      <c r="D12" s="140"/>
    </row>
    <row r="13" spans="1:7" ht="15.6" x14ac:dyDescent="0.3">
      <c r="A13" s="143" t="s">
        <v>117</v>
      </c>
      <c r="B13" s="169" t="str">
        <f>Choix_calep</f>
        <v>Portrait - ISY-RAIL</v>
      </c>
      <c r="E13" s="142" t="s">
        <v>114</v>
      </c>
      <c r="F13" s="149"/>
    </row>
    <row r="14" spans="1:7" ht="18.600000000000001" customHeight="1" thickBot="1" x14ac:dyDescent="0.35">
      <c r="A14" s="134"/>
    </row>
    <row r="15" spans="1:7" ht="23.4" customHeight="1" thickBot="1" x14ac:dyDescent="0.35">
      <c r="A15" s="180" t="s">
        <v>12</v>
      </c>
      <c r="B15" s="341" t="s">
        <v>65</v>
      </c>
      <c r="C15" s="181"/>
      <c r="D15" s="182" t="s">
        <v>109</v>
      </c>
      <c r="E15" s="181" t="s">
        <v>13</v>
      </c>
      <c r="F15" s="183" t="s">
        <v>73</v>
      </c>
    </row>
    <row r="16" spans="1:7" ht="30" customHeight="1" x14ac:dyDescent="0.3">
      <c r="A16" s="184">
        <f>'Configurateur ISY-PV'!C46</f>
        <v>380100</v>
      </c>
      <c r="B16" s="342" t="str">
        <f>'Configurateur ISY-PV'!D46</f>
        <v>ISY-Rail v2 - L385 + EPDM + 4 vis</v>
      </c>
      <c r="C16" s="163"/>
      <c r="D16" s="161">
        <f>'Configurateur ISY-PV'!G46</f>
        <v>24</v>
      </c>
      <c r="E16" s="563"/>
      <c r="F16" s="185">
        <f t="shared" ref="F16:F23" si="0">IFERROR(E16*(1-$F$13)*D16,"")</f>
        <v>0</v>
      </c>
    </row>
    <row r="17" spans="1:6" ht="30" customHeight="1" x14ac:dyDescent="0.3">
      <c r="A17" s="186">
        <f>'Configurateur ISY-PV'!C47</f>
        <v>300107</v>
      </c>
      <c r="B17" s="138" t="str">
        <f>'Configurateur ISY-PV'!D47</f>
        <v>ISY-Rail v2 - L710 + EPDM + 6 vis</v>
      </c>
      <c r="C17" s="164"/>
      <c r="D17" s="162">
        <f>'Configurateur ISY-PV'!G47</f>
        <v>4</v>
      </c>
      <c r="E17" s="564"/>
      <c r="F17" s="187">
        <f t="shared" si="0"/>
        <v>0</v>
      </c>
    </row>
    <row r="18" spans="1:6" ht="30" customHeight="1" x14ac:dyDescent="0.3">
      <c r="A18" s="186">
        <f>'Configurateur ISY-PV'!C48</f>
        <v>380108</v>
      </c>
      <c r="B18" s="138" t="str">
        <f>'Configurateur ISY-PV'!D48</f>
        <v>Etriers spring exter black - ISY-PV</v>
      </c>
      <c r="C18" s="164"/>
      <c r="D18" s="162">
        <f>'Configurateur ISY-PV'!G48</f>
        <v>8</v>
      </c>
      <c r="E18" s="564"/>
      <c r="F18" s="187">
        <f t="shared" si="0"/>
        <v>0</v>
      </c>
    </row>
    <row r="19" spans="1:6" ht="30" customHeight="1" x14ac:dyDescent="0.3">
      <c r="A19" s="186">
        <f>'Configurateur ISY-PV'!C49</f>
        <v>380109</v>
      </c>
      <c r="B19" s="138" t="str">
        <f>'Configurateur ISY-PV'!D49</f>
        <v>Etriers spring inter black - ISY-PV</v>
      </c>
      <c r="C19" s="164"/>
      <c r="D19" s="162">
        <f>'Configurateur ISY-PV'!G49</f>
        <v>20</v>
      </c>
      <c r="E19" s="564"/>
      <c r="F19" s="187">
        <f t="shared" si="0"/>
        <v>0</v>
      </c>
    </row>
    <row r="20" spans="1:6" ht="30" customHeight="1" x14ac:dyDescent="0.3">
      <c r="A20" s="186">
        <f>'Configurateur ISY-PV'!C50</f>
        <v>380057</v>
      </c>
      <c r="B20" s="138" t="str">
        <f>'Configurateur ISY-PV'!D50</f>
        <v>Griffe MALT ISY-PV </v>
      </c>
      <c r="C20" s="164"/>
      <c r="D20" s="162">
        <f>'Configurateur ISY-PV'!G50</f>
        <v>12</v>
      </c>
      <c r="E20" s="564"/>
      <c r="F20" s="187">
        <f t="shared" si="0"/>
        <v>0</v>
      </c>
    </row>
    <row r="21" spans="1:6" ht="30" customHeight="1" x14ac:dyDescent="0.3">
      <c r="A21" s="186">
        <f>'Configurateur ISY-PV'!C51</f>
        <v>380105</v>
      </c>
      <c r="B21" s="138" t="str">
        <f>'Configurateur ISY-PV'!D51</f>
        <v>Clip Omega - ISY PV</v>
      </c>
      <c r="C21" s="164"/>
      <c r="D21" s="162">
        <f>'Configurateur ISY-PV'!G51</f>
        <v>12</v>
      </c>
      <c r="E21" s="564"/>
      <c r="F21" s="187">
        <f t="shared" si="0"/>
        <v>0</v>
      </c>
    </row>
    <row r="22" spans="1:6" ht="30" customHeight="1" x14ac:dyDescent="0.3">
      <c r="A22" s="186" t="str">
        <f>'Configurateur ISY-PV'!C52</f>
        <v>380016 V3</v>
      </c>
      <c r="B22" s="138" t="str">
        <f>'Configurateur ISY-PV'!D52</f>
        <v>Fixation micro-onduleur</v>
      </c>
      <c r="C22" s="164"/>
      <c r="D22" s="162">
        <f>'Configurateur ISY-PV'!G52</f>
        <v>12</v>
      </c>
      <c r="E22" s="564"/>
      <c r="F22" s="187">
        <f t="shared" si="0"/>
        <v>0</v>
      </c>
    </row>
    <row r="23" spans="1:6" ht="30" customHeight="1" x14ac:dyDescent="0.3">
      <c r="A23" s="186" t="str">
        <f>'Configurateur ISY-PV'!C53</f>
        <v/>
      </c>
      <c r="B23" s="138" t="str">
        <f>'Configurateur ISY-PV'!D53</f>
        <v/>
      </c>
      <c r="C23" s="164"/>
      <c r="D23" s="162" t="str">
        <f>'Configurateur ISY-PV'!G53</f>
        <v/>
      </c>
      <c r="E23" s="564"/>
      <c r="F23" s="187" t="str">
        <f t="shared" si="0"/>
        <v/>
      </c>
    </row>
    <row r="24" spans="1:6" ht="30" customHeight="1" x14ac:dyDescent="0.3">
      <c r="A24" s="186" t="str">
        <f>'Configurateur ISY-PV'!C54</f>
        <v/>
      </c>
      <c r="B24" s="138" t="str">
        <f>'Configurateur ISY-PV'!D54</f>
        <v/>
      </c>
      <c r="C24" s="164"/>
      <c r="D24" s="162" t="str">
        <f>'Configurateur ISY-PV'!G54</f>
        <v/>
      </c>
      <c r="E24" s="564"/>
      <c r="F24" s="187" t="str">
        <f t="shared" ref="F24:F27" si="1">IFERROR(E24*(1-$F$13)*D24,"")</f>
        <v/>
      </c>
    </row>
    <row r="25" spans="1:6" ht="30" customHeight="1" x14ac:dyDescent="0.3">
      <c r="A25" s="186" t="str">
        <f>'Configurateur ISY-PV'!C55</f>
        <v/>
      </c>
      <c r="B25" s="138" t="str">
        <f>'Configurateur ISY-PV'!D55</f>
        <v/>
      </c>
      <c r="C25" s="164"/>
      <c r="D25" s="162" t="str">
        <f>'Configurateur ISY-PV'!G55</f>
        <v/>
      </c>
      <c r="E25" s="564"/>
      <c r="F25" s="187" t="str">
        <f t="shared" si="1"/>
        <v/>
      </c>
    </row>
    <row r="26" spans="1:6" ht="30" customHeight="1" x14ac:dyDescent="0.3">
      <c r="A26" s="186" t="str">
        <f>'Configurateur ISY-PV'!C56</f>
        <v/>
      </c>
      <c r="B26" s="138" t="str">
        <f>'Configurateur ISY-PV'!D56</f>
        <v/>
      </c>
      <c r="C26" s="164"/>
      <c r="D26" s="162" t="str">
        <f>'Configurateur ISY-PV'!G56</f>
        <v/>
      </c>
      <c r="E26" s="564"/>
      <c r="F26" s="187" t="str">
        <f t="shared" si="1"/>
        <v/>
      </c>
    </row>
    <row r="27" spans="1:6" ht="30" customHeight="1" thickBot="1" x14ac:dyDescent="0.35">
      <c r="A27" s="190" t="str">
        <f>'Configurateur ISY-PV'!C57</f>
        <v/>
      </c>
      <c r="B27" s="343" t="str">
        <f>'Configurateur ISY-PV'!D57</f>
        <v/>
      </c>
      <c r="C27" s="191"/>
      <c r="D27" s="192" t="str">
        <f>'Configurateur ISY-PV'!G57</f>
        <v/>
      </c>
      <c r="E27" s="565"/>
      <c r="F27" s="193" t="str">
        <f t="shared" si="1"/>
        <v/>
      </c>
    </row>
    <row r="28" spans="1:6" ht="9.6" customHeight="1" x14ac:dyDescent="0.3">
      <c r="A28" s="14"/>
      <c r="B28" s="44"/>
      <c r="D28" s="14"/>
      <c r="E28" s="189"/>
      <c r="F28" s="188"/>
    </row>
    <row r="29" spans="1:6" ht="15" customHeight="1" x14ac:dyDescent="0.3">
      <c r="D29" s="143" t="s">
        <v>110</v>
      </c>
      <c r="E29" s="194"/>
      <c r="F29" s="195">
        <f>SUM(F16:F24)</f>
        <v>0</v>
      </c>
    </row>
    <row r="30" spans="1:6" ht="15" customHeight="1" x14ac:dyDescent="0.3">
      <c r="D30" s="143" t="s">
        <v>111</v>
      </c>
      <c r="E30" s="196"/>
      <c r="F30" s="197">
        <f>F29*0.2</f>
        <v>0</v>
      </c>
    </row>
    <row r="31" spans="1:6" ht="15" customHeight="1" x14ac:dyDescent="0.3">
      <c r="D31" s="143" t="s">
        <v>112</v>
      </c>
      <c r="E31" s="198"/>
      <c r="F31" s="199">
        <f>SUM(F29:F30)</f>
        <v>0</v>
      </c>
    </row>
  </sheetData>
  <sheetProtection selectLockedCells="1"/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6D920-726E-4CCE-9BBC-E2A813B0240B}">
  <dimension ref="A18:J172"/>
  <sheetViews>
    <sheetView showGridLines="0" showRowColHeaders="0" showRuler="0" view="pageLayout" topLeftCell="A147" zoomScaleNormal="100" workbookViewId="0">
      <selection activeCell="E150" sqref="E150"/>
    </sheetView>
  </sheetViews>
  <sheetFormatPr baseColWidth="10" defaultColWidth="8.88671875" defaultRowHeight="14.4" x14ac:dyDescent="0.3"/>
  <cols>
    <col min="1" max="1" width="12" customWidth="1"/>
    <col min="2" max="2" width="9.6640625" customWidth="1"/>
    <col min="3" max="3" width="9" customWidth="1"/>
    <col min="4" max="4" width="11.6640625" bestFit="1" customWidth="1"/>
    <col min="5" max="6" width="9.33203125" customWidth="1"/>
    <col min="8" max="8" width="8.5546875" customWidth="1"/>
    <col min="9" max="9" width="9.88671875" customWidth="1"/>
    <col min="10" max="10" width="9.6640625" customWidth="1"/>
  </cols>
  <sheetData>
    <row r="18" spans="1:10" ht="36.6" x14ac:dyDescent="0.3">
      <c r="A18" s="750" t="s">
        <v>447</v>
      </c>
      <c r="B18" s="750"/>
      <c r="C18" s="750"/>
      <c r="D18" s="750"/>
      <c r="E18" s="750"/>
      <c r="F18" s="750"/>
      <c r="G18" s="750"/>
      <c r="H18" s="750"/>
      <c r="I18" s="750"/>
      <c r="J18" s="750"/>
    </row>
    <row r="41" spans="3:6" ht="15" customHeight="1" x14ac:dyDescent="0.3">
      <c r="C41" s="708" t="s">
        <v>408</v>
      </c>
      <c r="D41" s="571">
        <f>proj_ref</f>
        <v>0</v>
      </c>
      <c r="E41" s="507"/>
      <c r="F41" s="507"/>
    </row>
    <row r="42" spans="3:6" ht="15" customHeight="1" x14ac:dyDescent="0.3">
      <c r="C42" s="708" t="s">
        <v>422</v>
      </c>
      <c r="D42" s="712">
        <f ca="1">TODAY()</f>
        <v>45937</v>
      </c>
    </row>
    <row r="43" spans="3:6" ht="15" customHeight="1" x14ac:dyDescent="0.3"/>
    <row r="44" spans="3:6" ht="15" customHeight="1" x14ac:dyDescent="0.3"/>
    <row r="49" spans="1:10" ht="18" thickBot="1" x14ac:dyDescent="0.4">
      <c r="A49" s="408" t="s">
        <v>407</v>
      </c>
      <c r="B49" s="408"/>
      <c r="G49" s="537" t="s">
        <v>420</v>
      </c>
      <c r="H49" s="537"/>
      <c r="I49" s="517"/>
      <c r="J49" s="517"/>
    </row>
    <row r="50" spans="1:10" ht="15" thickTop="1" x14ac:dyDescent="0.3">
      <c r="B50" s="504" t="s">
        <v>409</v>
      </c>
      <c r="C50" s="507">
        <f>proj_name</f>
        <v>0</v>
      </c>
      <c r="D50" s="507"/>
      <c r="E50" s="507"/>
    </row>
    <row r="51" spans="1:10" x14ac:dyDescent="0.3">
      <c r="B51" s="504" t="s">
        <v>108</v>
      </c>
      <c r="C51" s="507">
        <f>proj_dir</f>
        <v>0</v>
      </c>
      <c r="D51" s="507"/>
      <c r="E51" s="507"/>
      <c r="G51" s="751" t="e" vm="3">
        <v>#VALUE!</v>
      </c>
      <c r="H51" s="751"/>
      <c r="I51" s="751"/>
    </row>
    <row r="52" spans="1:10" x14ac:dyDescent="0.3">
      <c r="B52" s="505"/>
      <c r="C52" s="507">
        <f>proj_dir2</f>
        <v>0</v>
      </c>
      <c r="D52" s="507"/>
      <c r="E52" s="507"/>
      <c r="G52" s="751"/>
      <c r="H52" s="751"/>
      <c r="I52" s="751"/>
    </row>
    <row r="55" spans="1:10" ht="18" thickBot="1" x14ac:dyDescent="0.4">
      <c r="A55" s="408" t="s">
        <v>496</v>
      </c>
      <c r="B55" s="408"/>
      <c r="C55" s="408"/>
    </row>
    <row r="56" spans="1:10" ht="15" thickTop="1" x14ac:dyDescent="0.3"/>
    <row r="66" spans="1:9" x14ac:dyDescent="0.3">
      <c r="B66" s="504" t="s">
        <v>151</v>
      </c>
      <c r="C66" s="508">
        <f>choix_vent</f>
        <v>3</v>
      </c>
      <c r="E66" s="504" t="s">
        <v>152</v>
      </c>
      <c r="F66" s="508" t="str">
        <f>choix_neige</f>
        <v>A2</v>
      </c>
    </row>
    <row r="67" spans="1:9" x14ac:dyDescent="0.3">
      <c r="B67" s="504" t="s">
        <v>225</v>
      </c>
      <c r="C67" s="508" t="str">
        <f>choix_cat</f>
        <v>IIIa</v>
      </c>
      <c r="E67" s="504" t="s">
        <v>162</v>
      </c>
      <c r="F67" s="647">
        <f>Alt_proj</f>
        <v>145</v>
      </c>
    </row>
    <row r="70" spans="1:9" ht="18" thickBot="1" x14ac:dyDescent="0.4">
      <c r="A70" s="408" t="s">
        <v>410</v>
      </c>
      <c r="B70" s="408"/>
      <c r="C70" s="408"/>
    </row>
    <row r="71" spans="1:9" ht="15" thickTop="1" x14ac:dyDescent="0.3"/>
    <row r="72" spans="1:9" x14ac:dyDescent="0.3">
      <c r="B72" s="504" t="s">
        <v>238</v>
      </c>
      <c r="C72" s="507" t="str">
        <f>Choix_forme</f>
        <v>Bipan</v>
      </c>
    </row>
    <row r="73" spans="1:9" x14ac:dyDescent="0.3">
      <c r="B73" s="504" t="s">
        <v>4</v>
      </c>
      <c r="C73" s="507" t="str">
        <f>choix_couv</f>
        <v>Bac trapézoïdale</v>
      </c>
      <c r="D73" s="503"/>
    </row>
    <row r="74" spans="1:9" x14ac:dyDescent="0.3">
      <c r="B74" s="504" t="s">
        <v>47</v>
      </c>
      <c r="C74" s="507" t="str">
        <f>choix_charp</f>
        <v>Métal Indust. (pannes)</v>
      </c>
      <c r="D74" s="503"/>
    </row>
    <row r="75" spans="1:9" x14ac:dyDescent="0.3">
      <c r="B75" s="504" t="str">
        <f>IF(OR(choix_charp=Données!$E$11,choix_charp=Données!$F$11),"Entraxe pannes :","Entraxe chevrons :")</f>
        <v>Entraxe pannes :</v>
      </c>
      <c r="C75" s="648">
        <f>Entr_chev</f>
        <v>600</v>
      </c>
    </row>
    <row r="79" spans="1:9" ht="18" thickBot="1" x14ac:dyDescent="0.4">
      <c r="A79" s="408" t="s">
        <v>411</v>
      </c>
      <c r="B79" s="408"/>
      <c r="C79" s="408"/>
      <c r="G79" s="408" t="s">
        <v>412</v>
      </c>
      <c r="H79" s="408"/>
      <c r="I79" s="408"/>
    </row>
    <row r="80" spans="1:9" ht="6.6" customHeight="1" thickTop="1" x14ac:dyDescent="0.3"/>
    <row r="81" spans="1:10" x14ac:dyDescent="0.3">
      <c r="B81" s="506" t="s">
        <v>331</v>
      </c>
      <c r="C81" s="511" t="str">
        <f>Choix_croch</f>
        <v>ISY-Rail v2 - L385 + EPDM + 4 vis</v>
      </c>
      <c r="D81" s="512"/>
      <c r="E81" s="512"/>
      <c r="F81" s="48"/>
      <c r="G81" s="506" t="s">
        <v>414</v>
      </c>
      <c r="H81" s="510" t="str">
        <f>mod_haut&amp;" x "&amp;mod_larg&amp;" x "&amp;mod_ep&amp;" mm"</f>
        <v>1762 x 1134 x 30 mm</v>
      </c>
      <c r="I81" s="503"/>
    </row>
    <row r="82" spans="1:10" x14ac:dyDescent="0.3">
      <c r="B82" s="506" t="s">
        <v>139</v>
      </c>
      <c r="C82" s="705">
        <f>Long_rail</f>
        <v>0.38500000000000001</v>
      </c>
      <c r="D82" s="48"/>
      <c r="E82" s="48"/>
      <c r="F82" s="48"/>
      <c r="G82" s="506" t="s">
        <v>244</v>
      </c>
      <c r="H82" s="514">
        <f>mod_poids</f>
        <v>21.6</v>
      </c>
    </row>
    <row r="83" spans="1:10" x14ac:dyDescent="0.3">
      <c r="D83" s="48"/>
      <c r="E83" s="48"/>
      <c r="F83" s="48"/>
      <c r="G83" s="506" t="s">
        <v>5</v>
      </c>
      <c r="H83" s="513">
        <f>'Configurateur ISY-PV'!J30</f>
        <v>445</v>
      </c>
      <c r="I83" s="509"/>
      <c r="J83" s="509"/>
    </row>
    <row r="84" spans="1:10" x14ac:dyDescent="0.3">
      <c r="D84" s="48"/>
      <c r="E84" s="48"/>
      <c r="F84" s="48"/>
      <c r="G84" s="506"/>
      <c r="H84" s="538"/>
      <c r="I84" s="509"/>
      <c r="J84" s="509"/>
    </row>
    <row r="85" spans="1:10" ht="18" thickBot="1" x14ac:dyDescent="0.4">
      <c r="A85" s="408" t="s">
        <v>501</v>
      </c>
      <c r="B85" s="408"/>
      <c r="C85" s="408"/>
    </row>
    <row r="86" spans="1:10" ht="15" thickTop="1" x14ac:dyDescent="0.3">
      <c r="H86" s="752">
        <f>Larg_Champs_PV</f>
        <v>7051.5999999999995</v>
      </c>
      <c r="I86" s="752"/>
    </row>
    <row r="87" spans="1:10" x14ac:dyDescent="0.3">
      <c r="A87" s="140" t="s">
        <v>132</v>
      </c>
      <c r="B87" s="503" t="str">
        <f>Choix_calep</f>
        <v>Portrait - ISY-RAIL</v>
      </c>
      <c r="C87" s="503"/>
      <c r="D87" s="503"/>
    </row>
    <row r="88" spans="1:10" x14ac:dyDescent="0.3">
      <c r="B88" s="23" t="s">
        <v>133</v>
      </c>
      <c r="C88" s="650">
        <f>nb_ligne</f>
        <v>2</v>
      </c>
    </row>
    <row r="89" spans="1:10" x14ac:dyDescent="0.3">
      <c r="B89" s="23" t="s">
        <v>134</v>
      </c>
      <c r="C89" s="650">
        <f>nb_colonne</f>
        <v>6</v>
      </c>
    </row>
    <row r="90" spans="1:10" x14ac:dyDescent="0.3">
      <c r="B90" s="23" t="s">
        <v>413</v>
      </c>
      <c r="C90" s="649">
        <f>nb_colonne*nb_ligne*'Configurateur ISY-PV'!$J$30/1000</f>
        <v>5.34</v>
      </c>
      <c r="D90" s="651"/>
      <c r="F90" s="707">
        <f>Haut_Champs_PV</f>
        <v>3549</v>
      </c>
      <c r="G90" s="23"/>
    </row>
    <row r="95" spans="1:10" ht="23.4" customHeight="1" x14ac:dyDescent="0.3"/>
    <row r="96" spans="1:10" ht="28.95" customHeight="1" thickBot="1" x14ac:dyDescent="0.4">
      <c r="A96" s="408" t="s">
        <v>418</v>
      </c>
      <c r="B96" s="408"/>
      <c r="C96" s="408"/>
      <c r="D96" s="408"/>
      <c r="E96" s="408"/>
    </row>
    <row r="97" spans="1:9" ht="15" thickTop="1" x14ac:dyDescent="0.3"/>
    <row r="98" spans="1:9" x14ac:dyDescent="0.3">
      <c r="B98" s="536" t="s">
        <v>415</v>
      </c>
      <c r="C98" s="542">
        <f>'EC1-Vent'!N23</f>
        <v>701.69526473759208</v>
      </c>
      <c r="E98" s="536" t="s">
        <v>497</v>
      </c>
      <c r="F98" s="542">
        <f>Sk*1000</f>
        <v>450</v>
      </c>
      <c r="H98" s="535" t="s">
        <v>419</v>
      </c>
      <c r="I98" s="544">
        <f>'EC1 - CC'!G2*1000</f>
        <v>128.10226474244638</v>
      </c>
    </row>
    <row r="99" spans="1:9" x14ac:dyDescent="0.3">
      <c r="B99" s="536" t="s">
        <v>416</v>
      </c>
      <c r="C99" s="541">
        <v>1.2250000000000001</v>
      </c>
      <c r="E99" s="536" t="s">
        <v>498</v>
      </c>
      <c r="F99" s="542">
        <f>'EC1-Neige'!C16*1000</f>
        <v>360.00000000000006</v>
      </c>
    </row>
    <row r="100" spans="1:9" x14ac:dyDescent="0.3">
      <c r="E100" s="536" t="s">
        <v>417</v>
      </c>
      <c r="F100" s="543">
        <f>'EC1-Neige'!C13</f>
        <v>0.8</v>
      </c>
    </row>
    <row r="102" spans="1:9" x14ac:dyDescent="0.3">
      <c r="A102" s="684" t="s">
        <v>500</v>
      </c>
      <c r="B102" s="684"/>
      <c r="C102" s="646"/>
      <c r="D102" s="14"/>
      <c r="E102" s="14"/>
      <c r="F102" s="14"/>
      <c r="G102" s="14"/>
      <c r="H102" s="14"/>
    </row>
    <row r="103" spans="1:9" ht="8.4" customHeight="1" x14ac:dyDescent="0.3">
      <c r="C103" s="645"/>
      <c r="D103" s="645"/>
      <c r="E103" s="645"/>
      <c r="F103" s="645"/>
      <c r="G103" s="645"/>
      <c r="H103" s="645"/>
      <c r="I103" s="645"/>
    </row>
    <row r="104" spans="1:9" x14ac:dyDescent="0.3">
      <c r="A104" s="751" t="e" vm="4">
        <f>VLOOKUP(choix_impl,Données!$U$24:$W$49,2,FALSE)</f>
        <v>#VALUE!</v>
      </c>
      <c r="B104" s="751"/>
      <c r="C104" s="751"/>
      <c r="E104" s="645"/>
      <c r="F104" s="645"/>
      <c r="G104" s="645"/>
      <c r="H104" s="645"/>
      <c r="I104" s="645"/>
    </row>
    <row r="105" spans="1:9" x14ac:dyDescent="0.3">
      <c r="A105" s="751"/>
      <c r="B105" s="751"/>
      <c r="C105" s="751"/>
      <c r="E105" s="645"/>
      <c r="F105" s="645"/>
      <c r="G105" s="645"/>
      <c r="H105" s="645"/>
      <c r="I105" s="645"/>
    </row>
    <row r="106" spans="1:9" x14ac:dyDescent="0.3">
      <c r="A106" s="751"/>
      <c r="B106" s="751"/>
      <c r="C106" s="751"/>
      <c r="E106" s="645"/>
      <c r="F106" s="645"/>
      <c r="G106" s="645"/>
      <c r="H106" s="645"/>
      <c r="I106" s="645"/>
    </row>
    <row r="107" spans="1:9" ht="11.4" customHeight="1" x14ac:dyDescent="0.3">
      <c r="A107" s="751"/>
      <c r="B107" s="751"/>
      <c r="C107" s="751"/>
      <c r="E107" s="645"/>
      <c r="F107" s="645"/>
      <c r="G107" s="645"/>
      <c r="H107" s="645"/>
      <c r="I107" s="645"/>
    </row>
    <row r="108" spans="1:9" x14ac:dyDescent="0.3">
      <c r="A108" s="751"/>
      <c r="B108" s="751"/>
      <c r="C108" s="751"/>
      <c r="E108" s="645"/>
      <c r="F108" s="645"/>
      <c r="G108" s="645"/>
      <c r="H108" s="645"/>
      <c r="I108" s="645"/>
    </row>
    <row r="109" spans="1:9" x14ac:dyDescent="0.3">
      <c r="A109" s="751"/>
      <c r="B109" s="751"/>
      <c r="C109" s="751"/>
      <c r="E109" s="645"/>
      <c r="F109" s="645"/>
      <c r="G109" s="645"/>
      <c r="H109" s="645"/>
      <c r="I109" s="645"/>
    </row>
    <row r="110" spans="1:9" x14ac:dyDescent="0.3">
      <c r="E110" s="645"/>
      <c r="F110" s="645"/>
      <c r="G110" s="645"/>
      <c r="H110" s="645"/>
      <c r="I110" s="645"/>
    </row>
    <row r="111" spans="1:9" x14ac:dyDescent="0.3">
      <c r="E111" s="645"/>
      <c r="F111" s="645"/>
      <c r="G111" s="645"/>
      <c r="H111" s="645"/>
      <c r="I111" s="645"/>
    </row>
    <row r="112" spans="1:9" x14ac:dyDescent="0.3">
      <c r="D112" s="645"/>
      <c r="E112" s="645"/>
      <c r="F112" s="645"/>
      <c r="G112" s="645"/>
      <c r="H112" s="645"/>
      <c r="I112" s="645"/>
    </row>
    <row r="113" spans="1:9" x14ac:dyDescent="0.3">
      <c r="D113" s="645"/>
      <c r="E113" s="645"/>
      <c r="F113" s="645"/>
      <c r="G113" s="645"/>
      <c r="H113" s="645"/>
      <c r="I113" s="645"/>
    </row>
    <row r="114" spans="1:9" x14ac:dyDescent="0.3">
      <c r="D114" s="645"/>
      <c r="E114" s="645"/>
      <c r="F114" s="645"/>
      <c r="G114" s="645"/>
      <c r="H114" s="645"/>
      <c r="I114" s="645"/>
    </row>
    <row r="115" spans="1:9" x14ac:dyDescent="0.3">
      <c r="D115" s="645"/>
      <c r="E115" s="645"/>
      <c r="F115" s="645"/>
      <c r="G115" s="645"/>
      <c r="H115" s="645"/>
      <c r="I115" s="645"/>
    </row>
    <row r="116" spans="1:9" x14ac:dyDescent="0.3">
      <c r="D116" s="645"/>
      <c r="E116" s="645"/>
      <c r="F116" s="645"/>
      <c r="G116" s="645"/>
      <c r="H116" s="645"/>
      <c r="I116" s="645"/>
    </row>
    <row r="117" spans="1:9" x14ac:dyDescent="0.3">
      <c r="D117" s="645"/>
      <c r="E117" s="645"/>
      <c r="F117" s="645"/>
      <c r="G117" s="645"/>
      <c r="H117" s="645"/>
      <c r="I117" s="645"/>
    </row>
    <row r="118" spans="1:9" x14ac:dyDescent="0.3">
      <c r="D118" s="645"/>
      <c r="E118" s="645"/>
      <c r="F118" s="645"/>
      <c r="G118" s="645"/>
      <c r="H118" s="645"/>
      <c r="I118" s="645"/>
    </row>
    <row r="119" spans="1:9" x14ac:dyDescent="0.3">
      <c r="D119" s="645"/>
      <c r="E119" s="645"/>
      <c r="F119" s="645"/>
      <c r="G119" s="645"/>
      <c r="H119" s="645"/>
      <c r="I119" s="645"/>
    </row>
    <row r="120" spans="1:9" x14ac:dyDescent="0.3">
      <c r="D120" s="645"/>
      <c r="E120" s="645"/>
      <c r="F120" s="645"/>
      <c r="G120" s="645"/>
      <c r="H120" s="645"/>
      <c r="I120" s="645"/>
    </row>
    <row r="121" spans="1:9" x14ac:dyDescent="0.3">
      <c r="B121" s="747" t="s">
        <v>514</v>
      </c>
      <c r="C121" s="748"/>
      <c r="D121" s="748"/>
      <c r="E121" s="748"/>
      <c r="F121" s="748"/>
      <c r="G121" s="748"/>
      <c r="H121" s="748"/>
      <c r="I121" s="749"/>
    </row>
    <row r="122" spans="1:9" x14ac:dyDescent="0.3">
      <c r="B122" s="523"/>
      <c r="C122" s="524" t="str">
        <f>'Configurateur ISY-PV'!$C$60</f>
        <v xml:space="preserve">Zone de toit </v>
      </c>
      <c r="D122" s="518" t="str">
        <f>'Configurateur ISY-PV'!$C$61</f>
        <v>Centre</v>
      </c>
      <c r="E122" s="519" t="str">
        <f>'Configurateur ISY-PV'!$C$62</f>
        <v>Egout</v>
      </c>
      <c r="F122" s="520" t="str">
        <f>'Configurateur ISY-PV'!$C$63</f>
        <v>Faitage</v>
      </c>
      <c r="G122" s="519" t="str">
        <f>'Configurateur ISY-PV'!$C$64</f>
        <v/>
      </c>
      <c r="H122" s="519" t="str">
        <f>'Configurateur ISY-PV'!$C$65</f>
        <v/>
      </c>
      <c r="I122" s="519" t="str">
        <f>'Configurateur ISY-PV'!$C$66</f>
        <v/>
      </c>
    </row>
    <row r="123" spans="1:9" x14ac:dyDescent="0.3">
      <c r="B123" s="525"/>
      <c r="C123" s="526" t="str">
        <f>'Configurateur ISY-PV'!D60</f>
        <v>ISY-RAIL</v>
      </c>
      <c r="D123" s="311" t="str">
        <f>'Configurateur ISY-PV'!D61</f>
        <v>2 par côté</v>
      </c>
      <c r="E123" s="521" t="str">
        <f>'Configurateur ISY-PV'!D62</f>
        <v>2 par côté</v>
      </c>
      <c r="F123" s="522" t="str">
        <f>'Configurateur ISY-PV'!D63</f>
        <v>2 par côté</v>
      </c>
      <c r="G123" s="699" t="str">
        <f>'Configurateur ISY-PV'!D64</f>
        <v/>
      </c>
      <c r="H123" s="521" t="str">
        <f>'Configurateur ISY-PV'!D65</f>
        <v/>
      </c>
      <c r="I123" s="522" t="str">
        <f>'Configurateur ISY-PV'!D66</f>
        <v/>
      </c>
    </row>
    <row r="124" spans="1:9" x14ac:dyDescent="0.3">
      <c r="B124" s="525"/>
      <c r="C124" s="526" t="str">
        <f>'Configurateur ISY-PV'!F60</f>
        <v>Etriers</v>
      </c>
      <c r="D124" s="158">
        <f>'Configurateur ISY-PV'!F61</f>
        <v>2</v>
      </c>
      <c r="E124" s="305">
        <f>'Configurateur ISY-PV'!F62</f>
        <v>2</v>
      </c>
      <c r="F124" s="150">
        <f>'Configurateur ISY-PV'!F63</f>
        <v>2</v>
      </c>
      <c r="G124" s="305" t="str">
        <f>'Configurateur ISY-PV'!F64</f>
        <v/>
      </c>
      <c r="H124" s="305" t="str">
        <f>'Configurateur ISY-PV'!F65</f>
        <v/>
      </c>
      <c r="I124" s="305" t="str">
        <f>'Configurateur ISY-PV'!F66</f>
        <v/>
      </c>
    </row>
    <row r="125" spans="1:9" x14ac:dyDescent="0.3">
      <c r="B125" s="527"/>
      <c r="C125" s="528" t="str">
        <f>'Configurateur ISY-PV'!G60</f>
        <v>Vis / Crochet</v>
      </c>
      <c r="D125" s="159">
        <f>'Configurateur ISY-PV'!G61</f>
        <v>2</v>
      </c>
      <c r="E125" s="306">
        <f>'Configurateur ISY-PV'!G62</f>
        <v>2</v>
      </c>
      <c r="F125" s="160">
        <f>'Configurateur ISY-PV'!G63</f>
        <v>2</v>
      </c>
      <c r="G125" s="306" t="str">
        <f>'Configurateur ISY-PV'!G64</f>
        <v/>
      </c>
      <c r="H125" s="306" t="str">
        <f>'Configurateur ISY-PV'!G65</f>
        <v/>
      </c>
      <c r="I125" s="306" t="str">
        <f>'Configurateur ISY-PV'!G66</f>
        <v/>
      </c>
    </row>
    <row r="126" spans="1:9" x14ac:dyDescent="0.3">
      <c r="A126" s="680" t="str">
        <f>_xlfn.CONCAT('EC1 - CC'!A39,'EC1 - CC'!A40,'EC1 - CC'!A44)</f>
        <v>SystELU_Upperp</v>
      </c>
      <c r="B126" s="681"/>
      <c r="C126" s="682" t="s">
        <v>503</v>
      </c>
      <c r="D126" s="683">
        <f>IFERROR(VLOOKUP(D$122,IF(Choix_forme=Données!$C$14,load_proj_MP,load_proj_BP),MATCH('Rapport ISY-HOOK '!$A126,load_proj_type,0),FALSE),"")</f>
        <v>-593.35618714159648</v>
      </c>
      <c r="E126" s="683">
        <f>IFERROR(VLOOKUP(E$122,IF(Choix_forme=Données!$C$14,load_proj_MP,load_proj_BP),MATCH('Rapport ISY-HOOK '!$A126,load_proj_type,0),FALSE),"")</f>
        <v>-628.44095037847615</v>
      </c>
      <c r="F126" s="683">
        <f>IFERROR(VLOOKUP(F$122,IF(Choix_forme=Données!$C$14,load_proj_MP,load_proj_BP),MATCH('Rapport ISY-HOOK '!$A126,load_proj_type,0),FALSE),"")</f>
        <v>-768.7800033259947</v>
      </c>
      <c r="G126" s="683" t="str">
        <f>IFERROR(VLOOKUP(G$122,IF(Choix_forme=Données!$C$14,load_proj_MP,load_proj_BP),MATCH('Rapport ISY-HOOK '!$A126,load_proj_type,0),FALSE),"")</f>
        <v/>
      </c>
      <c r="H126" s="683" t="str">
        <f>IFERROR(VLOOKUP(H$122,IF(Choix_forme=Données!$C$14,load_proj_MP,load_proj_BP),MATCH('Rapport ISY-HOOK '!$A126,load_proj_type,0),FALSE),"")</f>
        <v/>
      </c>
      <c r="I126" s="683" t="str">
        <f>IFERROR(VLOOKUP(I$122,IF(Choix_forme=Données!$C$14,load_proj_MP,load_proj_BP),MATCH('Rapport ISY-HOOK '!$A126,load_proj_type,0),FALSE),"")</f>
        <v/>
      </c>
    </row>
    <row r="127" spans="1:9" x14ac:dyDescent="0.3">
      <c r="A127" s="680" t="str">
        <f>_xlfn.CONCAT('EC1 - CC'!A39,'EC1 - CC'!A41,'EC1 - CC'!A44)</f>
        <v>SystELU_Downperp</v>
      </c>
      <c r="B127" s="527"/>
      <c r="C127" s="528" t="s">
        <v>504</v>
      </c>
      <c r="D127" s="698">
        <f>IFERROR(VLOOKUP(D$122,IF(Choix_forme=Données!$C$14,load_proj_MP,load_proj_BP),MATCH('Rapport ISY-HOOK '!$A127,load_proj_type,0),FALSE),"")</f>
        <v>939.0657724900459</v>
      </c>
      <c r="E127" s="698">
        <f>IFERROR(VLOOKUP(E$122,IF(Choix_forme=Données!$C$14,load_proj_MP,load_proj_BP),MATCH('Rapport ISY-HOOK '!$A127,load_proj_type,0),FALSE),"")</f>
        <v>981.16748837430146</v>
      </c>
      <c r="F127" s="698">
        <f>IFERROR(VLOOKUP(F$122,IF(Choix_forme=Données!$C$14,load_proj_MP,load_proj_BP),MATCH('Rapport ISY-HOOK '!$A127,load_proj_type,0),FALSE),"")</f>
        <v>939.0657724900459</v>
      </c>
      <c r="G127" s="698" t="str">
        <f>IFERROR(VLOOKUP(G$122,IF(Choix_forme=Données!$C$14,load_proj_MP,load_proj_BP),MATCH('Rapport ISY-HOOK '!$A127,load_proj_type,0),FALSE),"")</f>
        <v/>
      </c>
      <c r="H127" s="698" t="str">
        <f>IFERROR(VLOOKUP(H$122,IF(Choix_forme=Données!$C$14,load_proj_MP,load_proj_BP),MATCH('Rapport ISY-HOOK '!$A127,load_proj_type,0),FALSE),"")</f>
        <v/>
      </c>
      <c r="I127" s="698" t="str">
        <f>IFERROR(VLOOKUP(I$122,IF(Choix_forme=Données!$C$14,load_proj_MP,load_proj_BP),MATCH('Rapport ISY-HOOK '!$A127,load_proj_type,0),FALSE),"")</f>
        <v/>
      </c>
    </row>
    <row r="128" spans="1:9" x14ac:dyDescent="0.3">
      <c r="A128" s="680" t="str">
        <f>'EC1 - CC'!D56</f>
        <v>Rail</v>
      </c>
      <c r="B128" s="681"/>
      <c r="C128" s="687" t="s">
        <v>515</v>
      </c>
      <c r="D128" s="695" t="str">
        <f>IFERROR(VLOOKUP(D$122,IF(Choix_forme=Données!$C$14,Verif_Mono,Verif_Bi),MATCH(_xlfn.CONCAT($A128,VALUE(_xlfn.TEXTBEFORE(D$123," "))),Sollic_posit,0),FALSE),"")</f>
        <v/>
      </c>
      <c r="E128" s="688" t="str">
        <f>IFERROR(VLOOKUP(E$122,IF(Choix_forme=Données!$C$14,Verif_Mono,Verif_Bi),MATCH(_xlfn.CONCAT($A128,VALUE(_xlfn.TEXTBEFORE(E$123," "))),Sollic_posit,0),FALSE),"")</f>
        <v/>
      </c>
      <c r="F128" s="695" t="str">
        <f>IFERROR(VLOOKUP(F$122,IF(Choix_forme=Données!$C$14,Verif_Mono,Verif_Bi),MATCH(_xlfn.CONCAT($A128,VALUE(_xlfn.TEXTBEFORE(F$123," "))),Sollic_posit,0),FALSE),"")</f>
        <v/>
      </c>
      <c r="G128" s="688" t="str">
        <f>IFERROR(VLOOKUP(G$122,IF(Choix_forme=Données!$C$14,Verif_Mono,Verif_Bi),MATCH(_xlfn.CONCAT($A128,VALUE(_xlfn.TEXTBEFORE(G$123," "))),Sollic_posit,0),FALSE),"")</f>
        <v/>
      </c>
      <c r="H128" s="695" t="str">
        <f>IFERROR(VLOOKUP(H$122,IF(Choix_forme=Données!$C$14,Verif_Mono,Verif_Bi),MATCH(_xlfn.CONCAT($A128,VALUE(_xlfn.TEXTBEFORE(H$123," "))),Sollic_posit,0),FALSE),"")</f>
        <v/>
      </c>
      <c r="I128" s="689" t="str">
        <f>IFERROR(VLOOKUP(I$122,IF(Choix_forme=Données!$C$14,Verif_Mono,Verif_Bi),MATCH(_xlfn.CONCAT($A128,VALUE(_xlfn.TEXTBEFORE(I$123," "))),Sollic_posit,0),FALSE),"")</f>
        <v/>
      </c>
    </row>
    <row r="129" spans="1:9" x14ac:dyDescent="0.3">
      <c r="A129" s="680" t="str">
        <f>'EC1 - CC'!J56</f>
        <v>Crochet</v>
      </c>
      <c r="B129" s="525"/>
      <c r="C129" s="646" t="s">
        <v>516</v>
      </c>
      <c r="D129" s="696" t="str">
        <f>IFERROR(VLOOKUP(D$122,IF(Choix_forme=Données!$C$14,Verif_Mono,Verif_Bi),MATCH(_xlfn.CONCAT($A129,VALUE(_xlfn.TEXTBEFORE(D$123," "))),Sollic_posit,0),FALSE),"")</f>
        <v/>
      </c>
      <c r="E129" s="690" t="str">
        <f>IFERROR(VLOOKUP(E$122,IF(Choix_forme=Données!$C$14,Verif_Mono,Verif_Bi),MATCH(_xlfn.CONCAT($A129,VALUE(_xlfn.TEXTBEFORE(E$123," "))),Sollic_posit,0),FALSE),"")</f>
        <v/>
      </c>
      <c r="F129" s="696" t="str">
        <f>IFERROR(VLOOKUP(F$122,IF(Choix_forme=Données!$C$14,Verif_Mono,Verif_Bi),MATCH(_xlfn.CONCAT($A129,VALUE(_xlfn.TEXTBEFORE(F$123," "))),Sollic_posit,0),FALSE),"")</f>
        <v/>
      </c>
      <c r="G129" s="690" t="str">
        <f>IFERROR(VLOOKUP(G$122,IF(Choix_forme=Données!$C$14,Verif_Mono,Verif_Bi),MATCH(_xlfn.CONCAT($A129,VALUE(_xlfn.TEXTBEFORE(G$123," "))),Sollic_posit,0),FALSE),"")</f>
        <v/>
      </c>
      <c r="H129" s="696" t="str">
        <f>IFERROR(VLOOKUP(H$122,IF(Choix_forme=Données!$C$14,Verif_Mono,Verif_Bi),MATCH(_xlfn.CONCAT($A129,VALUE(_xlfn.TEXTBEFORE(H$123," "))),Sollic_posit,0),FALSE),"")</f>
        <v/>
      </c>
      <c r="I129" s="691" t="str">
        <f>IFERROR(VLOOKUP(I$122,IF(Choix_forme=Données!$C$14,Verif_Mono,Verif_Bi),MATCH(_xlfn.CONCAT($A129,VALUE(_xlfn.TEXTBEFORE(I$123," "))),Sollic_posit,0),FALSE),"")</f>
        <v/>
      </c>
    </row>
    <row r="130" spans="1:9" x14ac:dyDescent="0.3">
      <c r="A130" s="680" t="str">
        <f>'EC1 - CC'!V56</f>
        <v>Etrier inter</v>
      </c>
      <c r="B130" s="525"/>
      <c r="C130" s="646" t="s">
        <v>517</v>
      </c>
      <c r="D130" s="696">
        <f>IFERROR(VLOOKUP(D$122,IF(Choix_forme=Données!$C$14,Verif_Mono,Verif_Bi),MATCH(_xlfn.CONCAT($A130,D$124),Sollic_posit,0),FALSE),"")</f>
        <v>0.30332279866449091</v>
      </c>
      <c r="E130" s="690">
        <f>IFERROR(VLOOKUP(E$122,IF(Choix_forme=Données!$C$14,Verif_Mono,Verif_Bi),MATCH(_xlfn.CONCAT($A130,E$124),Sollic_posit,0),FALSE),"")</f>
        <v>0.31692185707413495</v>
      </c>
      <c r="F130" s="696">
        <f>IFERROR(VLOOKUP(F$122,IF(Choix_forme=Données!$C$14,Verif_Mono,Verif_Bi),MATCH(_xlfn.CONCAT($A130,F$124),Sollic_posit,0),FALSE),"")</f>
        <v>0.30332279866449091</v>
      </c>
      <c r="G130" s="690" t="str">
        <f>IFERROR(VLOOKUP(G$122,IF(Choix_forme=Données!$C$14,Verif_Mono,Verif_Bi),MATCH(_xlfn.CONCAT($A130,G$124),Sollic_posit,0),FALSE),"")</f>
        <v/>
      </c>
      <c r="H130" s="696" t="str">
        <f>IFERROR(VLOOKUP(H$122,IF(Choix_forme=Données!$C$14,Verif_Mono,Verif_Bi),MATCH(_xlfn.CONCAT($A130,H$124),Sollic_posit,0),FALSE),"")</f>
        <v/>
      </c>
      <c r="I130" s="691" t="str">
        <f>IFERROR(VLOOKUP(I$122,IF(Choix_forme=Données!$C$14,Verif_Mono,Verif_Bi),MATCH(_xlfn.CONCAT($A130,I$124),Sollic_posit,0),FALSE),"")</f>
        <v/>
      </c>
    </row>
    <row r="131" spans="1:9" x14ac:dyDescent="0.3">
      <c r="A131" s="680" t="str">
        <f>'EC1 - CC'!R56</f>
        <v>Vis</v>
      </c>
      <c r="B131" s="527"/>
      <c r="C131" s="692" t="s">
        <v>518</v>
      </c>
      <c r="D131" s="697">
        <f>IFERROR(VLOOKUP(D$122,IF(Choix_forme=Données!$C$14,Verif_Mono,Verif_Bi),MATCH(_xlfn.CONCAT($A131,D$125),Sollic_posit,0),FALSE),"")</f>
        <v>0.26844556394278674</v>
      </c>
      <c r="E131" s="693">
        <f>IFERROR(VLOOKUP(E$122,IF(Choix_forme=Données!$C$14,Verif_Mono,Verif_Bi),MATCH(_xlfn.CONCAT($A131,E$125),Sollic_posit,0),FALSE),"")</f>
        <v>0.28048094974280297</v>
      </c>
      <c r="F131" s="697">
        <f>IFERROR(VLOOKUP(F$122,IF(Choix_forme=Données!$C$14,Verif_Mono,Verif_Bi),MATCH(_xlfn.CONCAT($A131,F$125),Sollic_posit,0),FALSE),"")</f>
        <v>0.26844556394278674</v>
      </c>
      <c r="G131" s="693" t="str">
        <f>IFERROR(VLOOKUP(G$122,IF(Choix_forme=Données!$C$14,Verif_Mono,Verif_Bi),MATCH(_xlfn.CONCAT($A131,G$125),Sollic_posit,0),FALSE),"")</f>
        <v/>
      </c>
      <c r="H131" s="697" t="str">
        <f>IFERROR(VLOOKUP(H$122,IF(Choix_forme=Données!$C$14,Verif_Mono,Verif_Bi),MATCH(_xlfn.CONCAT($A131,H$125),Sollic_posit,0),FALSE),"")</f>
        <v/>
      </c>
      <c r="I131" s="694" t="str">
        <f>IFERROR(VLOOKUP(I$122,IF(Choix_forme=Données!$C$14,Verif_Mono,Verif_Bi),MATCH(_xlfn.CONCAT($A131,I$125),Sollic_posit,0),FALSE),"")</f>
        <v/>
      </c>
    </row>
    <row r="132" spans="1:9" ht="11.4" customHeight="1" x14ac:dyDescent="0.3"/>
    <row r="133" spans="1:9" ht="24" customHeight="1" x14ac:dyDescent="0.3">
      <c r="D133" s="700" t="s">
        <v>521</v>
      </c>
      <c r="E133" s="701" t="str">
        <f>IF(OR(D123="surcharge",E123="surcharge",F123="surcharge",G123="surcharge",H123="surcharge",I123="surcharge"),"Non conforme","Conforme")</f>
        <v>Conforme</v>
      </c>
    </row>
    <row r="134" spans="1:9" ht="11.4" customHeight="1" x14ac:dyDescent="0.3"/>
    <row r="135" spans="1:9" ht="15" customHeight="1" x14ac:dyDescent="0.3">
      <c r="B135" s="747" t="s">
        <v>522</v>
      </c>
      <c r="C135" s="748"/>
      <c r="D135" s="748"/>
      <c r="E135" s="748"/>
      <c r="F135" s="748"/>
      <c r="G135" s="748"/>
      <c r="H135" s="748"/>
      <c r="I135" s="749"/>
    </row>
    <row r="136" spans="1:9" ht="15" customHeight="1" x14ac:dyDescent="0.3">
      <c r="B136" s="523"/>
      <c r="C136" s="524" t="str">
        <f>'Configurateur ISY-PV'!$C$60</f>
        <v xml:space="preserve">Zone de toit </v>
      </c>
      <c r="D136" s="518" t="str">
        <f>'Configurateur ISY-PV'!$C$61</f>
        <v>Centre</v>
      </c>
      <c r="E136" s="519" t="str">
        <f>'Configurateur ISY-PV'!$C$62</f>
        <v>Egout</v>
      </c>
      <c r="F136" s="520" t="str">
        <f>'Configurateur ISY-PV'!$C$63</f>
        <v>Faitage</v>
      </c>
      <c r="G136" s="519" t="str">
        <f>'Configurateur ISY-PV'!$C$64</f>
        <v/>
      </c>
      <c r="H136" s="519" t="str">
        <f>'Configurateur ISY-PV'!$C$65</f>
        <v/>
      </c>
      <c r="I136" s="519" t="str">
        <f>'Configurateur ISY-PV'!$C$66</f>
        <v/>
      </c>
    </row>
    <row r="137" spans="1:9" ht="15" customHeight="1" x14ac:dyDescent="0.3">
      <c r="A137" s="680" t="str">
        <f>_xlfn.CONCAT('EC1 - CC'!A38,'EC1 - CC'!A40,'EC1 - CC'!A44)</f>
        <v>ModELU_Upperp</v>
      </c>
      <c r="B137" s="681"/>
      <c r="C137" s="682" t="s">
        <v>503</v>
      </c>
      <c r="D137" s="709">
        <f>IFERROR(VLOOKUP(D$122,IF(Choix_forme=Données!$C$14,load_proj_MP,load_proj_BP),MATCH('Rapport ISY-HOOK '!$A137,load_proj_type,0),FALSE),0)</f>
        <v>-985.95807912121916</v>
      </c>
      <c r="E137" s="709">
        <f>IFERROR(VLOOKUP(E$122,IF(Choix_forme=Données!$C$14,load_proj_MP,load_proj_BP),MATCH('Rapport ISY-HOOK '!$A137,load_proj_type,0),FALSE),0)</f>
        <v>-1217.3437883479098</v>
      </c>
      <c r="F137" s="709">
        <f>IFERROR(VLOOKUP(F$122,IF(Choix_forme=Données!$C$14,load_proj_MP,load_proj_BP),MATCH('Rapport ISY-HOOK '!$A137,load_proj_type,0),FALSE),0)</f>
        <v>-1014.1561858132587</v>
      </c>
      <c r="G137" s="709">
        <f>IFERROR(VLOOKUP(G$122,IF(Choix_forme=Données!$C$14,load_proj_MP,load_proj_BP),MATCH('Rapport ISY-HOOK '!$A137,load_proj_type,0),FALSE),0)</f>
        <v>0</v>
      </c>
      <c r="H137" s="709">
        <f>IFERROR(VLOOKUP(H$122,IF(Choix_forme=Données!$C$14,load_proj_MP,load_proj_BP),MATCH('Rapport ISY-HOOK '!$A137,load_proj_type,0),FALSE),0)</f>
        <v>0</v>
      </c>
      <c r="I137" s="709">
        <f>IFERROR(VLOOKUP(I$122,IF(Choix_forme=Données!$C$14,load_proj_MP,load_proj_BP),MATCH('Rapport ISY-HOOK '!$A137,load_proj_type,0),FALSE),0)</f>
        <v>0</v>
      </c>
    </row>
    <row r="138" spans="1:9" ht="15" customHeight="1" x14ac:dyDescent="0.3">
      <c r="A138" s="680" t="str">
        <f>_xlfn.CONCAT('EC1 - CC'!A38,'EC1 - CC'!A41,'EC1 - CC'!A44)</f>
        <v>ModELU_Downperp</v>
      </c>
      <c r="B138" s="302"/>
      <c r="C138" s="528" t="s">
        <v>504</v>
      </c>
      <c r="D138" s="710">
        <f>IFERROR(VLOOKUP(D$122,IF(Choix_forme=Données!$C$14,load_proj_MP,load_proj_BP),MATCH('Rapport ISY-HOOK '!$A138,load_proj_type,0),FALSE),0)</f>
        <v>939.0657724900459</v>
      </c>
      <c r="E138" s="710">
        <f>IFERROR(VLOOKUP(E$122,IF(Choix_forme=Données!$C$14,load_proj_MP,load_proj_BP),MATCH('Rapport ISY-HOOK '!$A138,load_proj_type,0),FALSE),0)</f>
        <v>981.16748837430146</v>
      </c>
      <c r="F138" s="710">
        <f>IFERROR(VLOOKUP(F$122,IF(Choix_forme=Données!$C$14,load_proj_MP,load_proj_BP),MATCH('Rapport ISY-HOOK '!$A138,load_proj_type,0),FALSE),0)</f>
        <v>939.0657724900459</v>
      </c>
      <c r="G138" s="710">
        <f>IFERROR(VLOOKUP(G$122,IF(Choix_forme=Données!$C$14,load_proj_MP,load_proj_BP),MATCH('Rapport ISY-HOOK '!$A138,load_proj_type,0),FALSE),0)</f>
        <v>0</v>
      </c>
      <c r="H138" s="710">
        <f>IFERROR(VLOOKUP(H$122,IF(Choix_forme=Données!$C$14,load_proj_MP,load_proj_BP),MATCH('Rapport ISY-HOOK '!$A138,load_proj_type,0),FALSE),0)</f>
        <v>0</v>
      </c>
      <c r="I138" s="710">
        <f>IFERROR(VLOOKUP(I$122,IF(Choix_forme=Données!$C$14,load_proj_MP,load_proj_BP),MATCH('Rapport ISY-HOOK '!$A138,load_proj_type,0),FALSE),0)</f>
        <v>0</v>
      </c>
    </row>
    <row r="139" spans="1:9" ht="4.95" customHeight="1" x14ac:dyDescent="0.3">
      <c r="C139" s="152"/>
      <c r="D139" s="152" t="b">
        <f t="shared" ref="D139:I139" si="0">ABS(D137)&gt;$E142</f>
        <v>0</v>
      </c>
      <c r="E139" s="152" t="b">
        <f t="shared" si="0"/>
        <v>0</v>
      </c>
      <c r="F139" s="152" t="b">
        <f t="shared" si="0"/>
        <v>0</v>
      </c>
      <c r="G139" s="152" t="b">
        <f t="shared" si="0"/>
        <v>0</v>
      </c>
      <c r="H139" s="152" t="b">
        <f t="shared" si="0"/>
        <v>0</v>
      </c>
      <c r="I139" s="152" t="b">
        <f t="shared" si="0"/>
        <v>0</v>
      </c>
    </row>
    <row r="140" spans="1:9" ht="4.95" customHeight="1" x14ac:dyDescent="0.3">
      <c r="C140" s="152"/>
      <c r="D140" s="152" t="b">
        <f>ABS(D138)&gt;$E143</f>
        <v>0</v>
      </c>
      <c r="E140" s="152" t="b">
        <f t="shared" ref="E140" si="1">ABS(E138)&gt;$E143</f>
        <v>0</v>
      </c>
      <c r="F140" s="152" t="b">
        <f>ABS(F138)&gt;$E143</f>
        <v>0</v>
      </c>
      <c r="G140" s="152" t="b">
        <f>ABS(G138)&gt;$E143</f>
        <v>0</v>
      </c>
      <c r="H140" s="152" t="b">
        <f>ABS(H138)&gt;$E143</f>
        <v>0</v>
      </c>
      <c r="I140" s="152" t="b">
        <f>ABS(I138)&gt;$E143</f>
        <v>0</v>
      </c>
    </row>
    <row r="141" spans="1:9" ht="15.6" customHeight="1" x14ac:dyDescent="0.3">
      <c r="D141" s="140" t="str">
        <f>'Configurateur ISY-PV'!G34</f>
        <v>Position étriers :</v>
      </c>
      <c r="E141" s="48" t="str">
        <f>VLOOKUP(Choix_calep,pos_etr_calep,2,FALSE)</f>
        <v>Bord Long</v>
      </c>
    </row>
    <row r="142" spans="1:9" ht="15.6" customHeight="1" x14ac:dyDescent="0.3">
      <c r="D142" s="140" t="s">
        <v>524</v>
      </c>
      <c r="E142" s="600">
        <f>HLOOKUP($E$141,mod_charg_adm,2,FALSE)</f>
        <v>2400</v>
      </c>
    </row>
    <row r="143" spans="1:9" ht="15.6" customHeight="1" x14ac:dyDescent="0.3">
      <c r="D143" s="140" t="s">
        <v>525</v>
      </c>
      <c r="E143" s="600">
        <f>HLOOKUP($E$141,mod_charg_adm,3,FALSE)</f>
        <v>5400</v>
      </c>
    </row>
    <row r="144" spans="1:9" ht="11.4" customHeight="1" x14ac:dyDescent="0.3">
      <c r="D144" s="23"/>
    </row>
    <row r="145" spans="1:8" ht="18" customHeight="1" x14ac:dyDescent="0.3">
      <c r="D145" s="700" t="s">
        <v>521</v>
      </c>
      <c r="E145" s="701" t="str" cm="1">
        <f t="array" ref="E145">_xlfn.SWITCH(TRUE,D139,Données!$C$35,E139,Données!$C$35,F139,Données!$C$35,G139,Données!$C$35,H139,Données!$C$35,I139,Données!$C$35,D140,Données!$C$35,E140,Données!$C$35,F140,Données!$C$35,G140,Données!$C$35,H140,Données!$C$35,I140,Données!$C$35,"Conforme")</f>
        <v>Conforme</v>
      </c>
    </row>
    <row r="146" spans="1:8" ht="11.4" customHeight="1" x14ac:dyDescent="0.3"/>
    <row r="147" spans="1:8" ht="11.4" customHeight="1" x14ac:dyDescent="0.3"/>
    <row r="148" spans="1:8" ht="20.399999999999999" thickBot="1" x14ac:dyDescent="0.45">
      <c r="A148" s="367" t="s">
        <v>384</v>
      </c>
      <c r="B148" s="367"/>
      <c r="C148" s="367"/>
      <c r="D148" s="367"/>
    </row>
    <row r="149" spans="1:8" ht="15" thickTop="1" x14ac:dyDescent="0.3"/>
    <row r="150" spans="1:8" ht="18" customHeight="1" x14ac:dyDescent="0.3">
      <c r="B150" s="529" t="str">
        <f>'Configurateur ISY-PV'!C45</f>
        <v>n° article</v>
      </c>
      <c r="C150" s="530" t="str">
        <f>'Configurateur ISY-PV'!D45</f>
        <v>Description</v>
      </c>
      <c r="D150" s="531"/>
      <c r="E150" s="531"/>
      <c r="F150" s="531"/>
      <c r="G150" s="532"/>
      <c r="H150" s="533" t="str">
        <f>'Configurateur ISY-PV'!G45</f>
        <v>Quantité</v>
      </c>
    </row>
    <row r="151" spans="1:8" ht="19.95" customHeight="1" x14ac:dyDescent="0.3">
      <c r="B151" s="534">
        <f>'Configurateur ISY-PV'!C46</f>
        <v>380100</v>
      </c>
      <c r="C151" s="155" t="str">
        <f>'Configurateur ISY-PV'!D46</f>
        <v>ISY-Rail v2 - L385 + EPDM + 4 vis</v>
      </c>
      <c r="D151" s="128"/>
      <c r="E151" s="128"/>
      <c r="F151" s="128"/>
      <c r="G151" s="166"/>
      <c r="H151" s="150">
        <f>'Configurateur ISY-PV'!G46</f>
        <v>24</v>
      </c>
    </row>
    <row r="152" spans="1:8" ht="19.95" customHeight="1" x14ac:dyDescent="0.3">
      <c r="B152" s="534">
        <f>'Configurateur ISY-PV'!C47</f>
        <v>300107</v>
      </c>
      <c r="C152" s="283" t="str">
        <f>'Configurateur ISY-PV'!D47</f>
        <v>ISY-Rail v2 - L710 + EPDM + 6 vis</v>
      </c>
      <c r="G152" s="167"/>
      <c r="H152" s="150">
        <f>'Configurateur ISY-PV'!G47</f>
        <v>4</v>
      </c>
    </row>
    <row r="153" spans="1:8" ht="19.95" customHeight="1" x14ac:dyDescent="0.3">
      <c r="B153" s="534">
        <f>'Configurateur ISY-PV'!C48</f>
        <v>380108</v>
      </c>
      <c r="C153" s="283" t="str">
        <f>'Configurateur ISY-PV'!D48</f>
        <v>Etriers spring exter black - ISY-PV</v>
      </c>
      <c r="G153" s="167"/>
      <c r="H153" s="150">
        <f>'Configurateur ISY-PV'!G48</f>
        <v>8</v>
      </c>
    </row>
    <row r="154" spans="1:8" ht="19.95" customHeight="1" x14ac:dyDescent="0.3">
      <c r="B154" s="534">
        <f>'Configurateur ISY-PV'!C49</f>
        <v>380109</v>
      </c>
      <c r="C154" s="283" t="str">
        <f>'Configurateur ISY-PV'!D49</f>
        <v>Etriers spring inter black - ISY-PV</v>
      </c>
      <c r="G154" s="167"/>
      <c r="H154" s="150">
        <f>'Configurateur ISY-PV'!G49</f>
        <v>20</v>
      </c>
    </row>
    <row r="155" spans="1:8" ht="19.95" customHeight="1" x14ac:dyDescent="0.3">
      <c r="B155" s="534">
        <f>'Configurateur ISY-PV'!C50</f>
        <v>380057</v>
      </c>
      <c r="C155" s="283" t="str">
        <f>'Configurateur ISY-PV'!D50</f>
        <v>Griffe MALT ISY-PV </v>
      </c>
      <c r="G155" s="167"/>
      <c r="H155" s="150">
        <f>'Configurateur ISY-PV'!G50</f>
        <v>12</v>
      </c>
    </row>
    <row r="156" spans="1:8" ht="19.95" customHeight="1" x14ac:dyDescent="0.3">
      <c r="B156" s="534">
        <f>'Configurateur ISY-PV'!C51</f>
        <v>380105</v>
      </c>
      <c r="C156" s="283" t="str">
        <f>'Configurateur ISY-PV'!D51</f>
        <v>Clip Omega - ISY PV</v>
      </c>
      <c r="G156" s="167"/>
      <c r="H156" s="150">
        <f>'Configurateur ISY-PV'!G51</f>
        <v>12</v>
      </c>
    </row>
    <row r="157" spans="1:8" ht="19.95" customHeight="1" x14ac:dyDescent="0.3">
      <c r="B157" s="534" t="str">
        <f>'Configurateur ISY-PV'!C52</f>
        <v>380016 V3</v>
      </c>
      <c r="C157" s="283" t="str">
        <f>'Configurateur ISY-PV'!D52</f>
        <v>Fixation micro-onduleur</v>
      </c>
      <c r="G157" s="167"/>
      <c r="H157" s="150">
        <f>'Configurateur ISY-PV'!G52</f>
        <v>12</v>
      </c>
    </row>
    <row r="158" spans="1:8" ht="19.95" customHeight="1" x14ac:dyDescent="0.3">
      <c r="B158" s="534" t="str">
        <f>'Configurateur ISY-PV'!C53</f>
        <v/>
      </c>
      <c r="C158" s="283" t="str">
        <f>'Configurateur ISY-PV'!D53</f>
        <v/>
      </c>
      <c r="G158" s="167"/>
      <c r="H158" s="150" t="str">
        <f>'Configurateur ISY-PV'!G53</f>
        <v/>
      </c>
    </row>
    <row r="159" spans="1:8" ht="19.95" customHeight="1" x14ac:dyDescent="0.3">
      <c r="B159" s="534" t="str">
        <f>'Configurateur ISY-PV'!C54</f>
        <v/>
      </c>
      <c r="C159" s="283" t="str">
        <f>'Configurateur ISY-PV'!D54</f>
        <v/>
      </c>
      <c r="G159" s="167"/>
      <c r="H159" s="150" t="str">
        <f>'Configurateur ISY-PV'!G54</f>
        <v/>
      </c>
    </row>
    <row r="160" spans="1:8" ht="19.95" customHeight="1" x14ac:dyDescent="0.3">
      <c r="B160" s="534" t="str">
        <f>'Configurateur ISY-PV'!C55</f>
        <v/>
      </c>
      <c r="C160" s="283" t="str">
        <f>'Configurateur ISY-PV'!D55</f>
        <v/>
      </c>
      <c r="G160" s="167"/>
      <c r="H160" s="150" t="str">
        <f>'Configurateur ISY-PV'!G55</f>
        <v/>
      </c>
    </row>
    <row r="161" spans="1:9" ht="19.95" customHeight="1" x14ac:dyDescent="0.3">
      <c r="B161" s="534" t="str">
        <f>'Configurateur ISY-PV'!C56</f>
        <v/>
      </c>
      <c r="C161" s="283" t="str">
        <f>'Configurateur ISY-PV'!D56</f>
        <v/>
      </c>
      <c r="G161" s="167"/>
      <c r="H161" s="150" t="str">
        <f>'Configurateur ISY-PV'!G56</f>
        <v/>
      </c>
    </row>
    <row r="162" spans="1:9" ht="19.95" customHeight="1" x14ac:dyDescent="0.3">
      <c r="B162" s="557" t="str">
        <f>'Configurateur ISY-PV'!C57</f>
        <v/>
      </c>
      <c r="C162" s="302" t="str">
        <f>'Configurateur ISY-PV'!D57</f>
        <v/>
      </c>
      <c r="D162" s="99"/>
      <c r="E162" s="99"/>
      <c r="F162" s="99"/>
      <c r="G162" s="303"/>
      <c r="H162" s="160" t="str">
        <f>'Configurateur ISY-PV'!G57</f>
        <v/>
      </c>
    </row>
    <row r="165" spans="1:9" ht="20.399999999999999" thickBot="1" x14ac:dyDescent="0.45">
      <c r="A165" s="367" t="s">
        <v>547</v>
      </c>
      <c r="B165" s="367"/>
      <c r="C165" s="367"/>
    </row>
    <row r="166" spans="1:9" ht="15" thickTop="1" x14ac:dyDescent="0.3"/>
    <row r="167" spans="1:9" x14ac:dyDescent="0.3">
      <c r="A167" s="140" t="s">
        <v>132</v>
      </c>
      <c r="B167" s="503" t="str">
        <f>Choix_calep</f>
        <v>Portrait - ISY-RAIL</v>
      </c>
      <c r="C167" s="503"/>
      <c r="D167" s="503"/>
      <c r="F167" s="140" t="s">
        <v>139</v>
      </c>
      <c r="G167" s="705">
        <f>Long_rail</f>
        <v>0.38500000000000001</v>
      </c>
    </row>
    <row r="169" spans="1:9" ht="18" thickBot="1" x14ac:dyDescent="0.4">
      <c r="A169" s="408" t="s">
        <v>550</v>
      </c>
      <c r="B169" s="408"/>
      <c r="C169" s="408"/>
      <c r="D169" s="408"/>
      <c r="F169" s="408" t="s">
        <v>551</v>
      </c>
      <c r="G169" s="408"/>
      <c r="H169" s="408"/>
      <c r="I169" s="408"/>
    </row>
    <row r="170" spans="1:9" ht="15" thickTop="1" x14ac:dyDescent="0.3">
      <c r="B170" s="23" t="s">
        <v>548</v>
      </c>
      <c r="C170" s="733">
        <f>rail_ligne-IF(Rail_découp_ader&lt;&gt;"",1,0)</f>
        <v>6</v>
      </c>
      <c r="D170" s="731">
        <f>Long_rail*1000</f>
        <v>385</v>
      </c>
      <c r="G170" s="23" t="s">
        <v>548</v>
      </c>
      <c r="H170" s="733">
        <f>rail_crois_ligne-IF(railc_decoup_ader&lt;&gt;"",1,0)</f>
        <v>-1</v>
      </c>
      <c r="I170" s="731">
        <f>Long_rail*1000</f>
        <v>385</v>
      </c>
    </row>
    <row r="171" spans="1:9" x14ac:dyDescent="0.3">
      <c r="B171" s="23" t="s">
        <v>549</v>
      </c>
      <c r="C171" s="733" t="str">
        <f>IF(rail_découp_der&lt;&gt;0,1,"")</f>
        <v/>
      </c>
      <c r="D171" s="731">
        <f>rail_découp_der</f>
        <v>0</v>
      </c>
      <c r="G171" s="23" t="s">
        <v>549</v>
      </c>
      <c r="H171" s="733" t="str">
        <f>IF(railc_decoup_der&lt;&gt;0,1,"")</f>
        <v/>
      </c>
      <c r="I171" s="731">
        <f>railc_decoup_der</f>
        <v>0</v>
      </c>
    </row>
    <row r="172" spans="1:9" x14ac:dyDescent="0.3">
      <c r="B172" s="23" t="str">
        <f>IF(Rail_découp_ader&lt;&gt;"","Coupe a-dernier rail :","")</f>
        <v>Coupe a-dernier rail :</v>
      </c>
      <c r="C172" s="733">
        <f>IF(Rail_découp_ader&lt;"",1,"")</f>
        <v>1</v>
      </c>
      <c r="D172" s="731">
        <f>Rail_découp_ader</f>
        <v>0</v>
      </c>
      <c r="G172" s="23" t="str">
        <f>IF(railc_decoup_ader&lt;&gt;"","Coupe a-dernier rail :","")</f>
        <v>Coupe a-dernier rail :</v>
      </c>
      <c r="H172" s="732">
        <f>IF(railc_decoup_ader&lt;"",1,"")</f>
        <v>1</v>
      </c>
      <c r="I172" s="731">
        <f>railc_decoup_ader</f>
        <v>0</v>
      </c>
    </row>
  </sheetData>
  <sheetProtection algorithmName="SHA-512" hashValue="BW++dbXOg8fKA3bjuiKNkcb0ie8zxuQo5HYFow9Ubb+IR2VlWf45qcnhbtfJRyab7EpQytHuDaik49Ls/JRj+g==" saltValue="XOBvlrJuhWOQMKGk+UdB+Q==" spinCount="100000" sheet="1" objects="1" scenarios="1"/>
  <mergeCells count="6">
    <mergeCell ref="B135:I135"/>
    <mergeCell ref="A18:J18"/>
    <mergeCell ref="B121:I121"/>
    <mergeCell ref="A104:C109"/>
    <mergeCell ref="G51:I52"/>
    <mergeCell ref="H86:I86"/>
  </mergeCells>
  <conditionalFormatting sqref="B172:D172 G172:I172">
    <cfRule type="expression" dxfId="22" priority="3">
      <formula>B172=""</formula>
    </cfRule>
  </conditionalFormatting>
  <conditionalFormatting sqref="D123:I123">
    <cfRule type="expression" dxfId="21" priority="15">
      <formula>D$123="surcharge"</formula>
    </cfRule>
  </conditionalFormatting>
  <conditionalFormatting sqref="D137:I137">
    <cfRule type="expression" dxfId="20" priority="9">
      <formula>ABS(D137)&gt;$E$142</formula>
    </cfRule>
  </conditionalFormatting>
  <conditionalFormatting sqref="D138:I138">
    <cfRule type="expression" dxfId="19" priority="8">
      <formula>ABS(D138)&gt;$E$143</formula>
    </cfRule>
  </conditionalFormatting>
  <conditionalFormatting sqref="E133:F133">
    <cfRule type="expression" dxfId="18" priority="13">
      <formula>$E133="Conforme"</formula>
    </cfRule>
    <cfRule type="expression" dxfId="17" priority="14">
      <formula>$E133="Non conforme"</formula>
    </cfRule>
  </conditionalFormatting>
  <conditionalFormatting sqref="E145:F145">
    <cfRule type="expression" dxfId="16" priority="4">
      <formula>$E145="Conforme"</formula>
    </cfRule>
  </conditionalFormatting>
  <conditionalFormatting sqref="E145:H145">
    <cfRule type="expression" dxfId="15" priority="5">
      <formula>$E145="Consulter le fabricant de module"</formula>
    </cfRule>
  </conditionalFormatting>
  <conditionalFormatting sqref="H172:I172">
    <cfRule type="expression" dxfId="13" priority="2">
      <formula>H172=""</formula>
    </cfRule>
  </conditionalFormatting>
  <pageMargins left="0.25" right="0.25" top="0.75" bottom="0.75" header="0.3" footer="0.3"/>
  <pageSetup paperSize="9" orientation="portrait" horizontalDpi="1200" verticalDpi="1200" r:id="rId1"/>
  <headerFooter differentFirst="1">
    <oddHeader>&amp;L&amp;G
&amp;C&amp;"+,Gras"&amp;16&amp;K002060&amp;A&amp;R&amp;K002060Date : &amp;D</oddHeader>
    <oddFooter>&amp;L
&amp;C&amp;F&amp;R&amp;P/&amp;N</oddFooter>
    <firstHeader>&amp;L&amp;G&amp;C&amp;G&amp;R&amp;G</firstHeader>
    <firstFooter>&amp;L&amp;"-,Gras italique"&amp;10&amp;K1E3E77ISY-PV (SAS)
RCS Marseille - 928 271 220 00016
contact@isy-pv.com&amp;R&amp;G</firstFooter>
  </headerFooter>
  <drawing r:id="rId2"/>
  <legacyDrawing r:id="rId3"/>
  <legacyDrawingHF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DE93E2-16B3-49AA-9C2F-C7B3F0451623}">
            <xm:f>'Configurateur ISY-PV'!$D$38:$E$38&lt;&gt;Données!$H$6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F169:I172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AE2EF-49B6-4DC2-986B-7BB6A6F2E1C3}">
  <dimension ref="A18:J163"/>
  <sheetViews>
    <sheetView showGridLines="0" showRowColHeaders="0" showRuler="0" view="pageLayout" topLeftCell="A50" zoomScaleNormal="100" workbookViewId="0">
      <selection activeCell="B5" sqref="B5"/>
    </sheetView>
  </sheetViews>
  <sheetFormatPr baseColWidth="10" defaultColWidth="8.88671875" defaultRowHeight="14.4" x14ac:dyDescent="0.3"/>
  <cols>
    <col min="1" max="1" width="12" customWidth="1"/>
    <col min="2" max="2" width="9.6640625" customWidth="1"/>
    <col min="3" max="3" width="9" customWidth="1"/>
    <col min="4" max="4" width="11.6640625" bestFit="1" customWidth="1"/>
    <col min="5" max="6" width="9.33203125" customWidth="1"/>
    <col min="8" max="8" width="8.5546875" customWidth="1"/>
    <col min="9" max="9" width="9.88671875" customWidth="1"/>
    <col min="10" max="10" width="9.6640625" customWidth="1"/>
  </cols>
  <sheetData>
    <row r="18" spans="1:10" ht="36.6" x14ac:dyDescent="0.3">
      <c r="A18" s="750" t="s">
        <v>447</v>
      </c>
      <c r="B18" s="750"/>
      <c r="C18" s="750"/>
      <c r="D18" s="750"/>
      <c r="E18" s="750"/>
      <c r="F18" s="750"/>
      <c r="G18" s="750"/>
      <c r="H18" s="750"/>
      <c r="I18" s="750"/>
      <c r="J18" s="750"/>
    </row>
    <row r="41" spans="3:6" ht="15.6" x14ac:dyDescent="0.3">
      <c r="C41" s="708" t="s">
        <v>408</v>
      </c>
      <c r="D41" s="571">
        <f>proj_ref</f>
        <v>0</v>
      </c>
      <c r="E41" s="507"/>
      <c r="F41" s="507"/>
    </row>
    <row r="42" spans="3:6" ht="15" customHeight="1" x14ac:dyDescent="0.3">
      <c r="C42" s="708" t="s">
        <v>422</v>
      </c>
      <c r="D42" s="572">
        <f ca="1">TODAY()</f>
        <v>45937</v>
      </c>
    </row>
    <row r="43" spans="3:6" ht="15" customHeight="1" x14ac:dyDescent="0.3"/>
    <row r="44" spans="3:6" ht="15" customHeight="1" x14ac:dyDescent="0.3"/>
    <row r="45" spans="3:6" ht="15" customHeight="1" x14ac:dyDescent="0.3"/>
    <row r="49" spans="1:10" ht="18" thickBot="1" x14ac:dyDescent="0.4">
      <c r="A49" s="408" t="s">
        <v>407</v>
      </c>
      <c r="B49" s="408"/>
      <c r="G49" s="537" t="s">
        <v>420</v>
      </c>
      <c r="H49" s="537"/>
      <c r="I49" s="517"/>
      <c r="J49" s="517"/>
    </row>
    <row r="50" spans="1:10" ht="15" thickTop="1" x14ac:dyDescent="0.3">
      <c r="B50" s="504" t="s">
        <v>409</v>
      </c>
      <c r="C50" s="507">
        <f>proj_name</f>
        <v>0</v>
      </c>
      <c r="D50" s="507"/>
      <c r="E50" s="507"/>
    </row>
    <row r="51" spans="1:10" x14ac:dyDescent="0.3">
      <c r="B51" s="504" t="s">
        <v>108</v>
      </c>
      <c r="C51" s="507">
        <f>proj_dir</f>
        <v>0</v>
      </c>
      <c r="D51" s="507"/>
      <c r="E51" s="507"/>
      <c r="G51" s="751" t="e" vm="5">
        <v>#VALUE!</v>
      </c>
      <c r="H51" s="751"/>
      <c r="I51" s="751"/>
    </row>
    <row r="52" spans="1:10" x14ac:dyDescent="0.3">
      <c r="B52" s="505"/>
      <c r="C52" s="507">
        <f>proj_dir2</f>
        <v>0</v>
      </c>
      <c r="D52" s="507"/>
      <c r="E52" s="507"/>
      <c r="G52" s="751"/>
      <c r="H52" s="751"/>
      <c r="I52" s="751"/>
    </row>
    <row r="55" spans="1:10" ht="18" thickBot="1" x14ac:dyDescent="0.4">
      <c r="A55" s="408" t="s">
        <v>496</v>
      </c>
      <c r="B55" s="408"/>
      <c r="C55" s="408"/>
    </row>
    <row r="56" spans="1:10" ht="15" thickTop="1" x14ac:dyDescent="0.3"/>
    <row r="66" spans="1:9" x14ac:dyDescent="0.3">
      <c r="B66" s="504" t="s">
        <v>151</v>
      </c>
      <c r="C66" s="508">
        <f>choix_vent</f>
        <v>3</v>
      </c>
      <c r="E66" s="504" t="s">
        <v>152</v>
      </c>
      <c r="F66" s="508" t="str">
        <f>choix_neige</f>
        <v>A2</v>
      </c>
    </row>
    <row r="67" spans="1:9" x14ac:dyDescent="0.3">
      <c r="B67" s="504" t="s">
        <v>225</v>
      </c>
      <c r="C67" s="508" t="str">
        <f>choix_cat</f>
        <v>IIIa</v>
      </c>
      <c r="E67" s="504" t="s">
        <v>162</v>
      </c>
      <c r="F67" s="647">
        <f>Alt_proj</f>
        <v>145</v>
      </c>
    </row>
    <row r="70" spans="1:9" ht="18" thickBot="1" x14ac:dyDescent="0.4">
      <c r="A70" s="408" t="s">
        <v>410</v>
      </c>
      <c r="B70" s="408"/>
      <c r="C70" s="408"/>
    </row>
    <row r="71" spans="1:9" ht="15" thickTop="1" x14ac:dyDescent="0.3"/>
    <row r="72" spans="1:9" x14ac:dyDescent="0.3">
      <c r="B72" s="504" t="s">
        <v>238</v>
      </c>
      <c r="C72" s="507" t="str">
        <f>Choix_forme</f>
        <v>Bipan</v>
      </c>
    </row>
    <row r="73" spans="1:9" x14ac:dyDescent="0.3">
      <c r="B73" s="504" t="s">
        <v>4</v>
      </c>
      <c r="C73" s="507" t="str">
        <f>choix_couv</f>
        <v>Bac trapézoïdale</v>
      </c>
      <c r="D73" s="503"/>
    </row>
    <row r="74" spans="1:9" x14ac:dyDescent="0.3">
      <c r="B74" s="504" t="s">
        <v>47</v>
      </c>
      <c r="C74" s="507" t="str">
        <f>choix_charp</f>
        <v>Métal Indust. (pannes)</v>
      </c>
      <c r="D74" s="503"/>
    </row>
    <row r="75" spans="1:9" x14ac:dyDescent="0.3">
      <c r="B75" s="504" t="str">
        <f>IF(OR(choix_charp=Données!$E$11,choix_charp=Données!$F$11),"Entraxe pannes :","Entraxe chevrons :")</f>
        <v>Entraxe pannes :</v>
      </c>
      <c r="C75" s="648">
        <f>Entr_chev</f>
        <v>600</v>
      </c>
    </row>
    <row r="79" spans="1:9" ht="18" thickBot="1" x14ac:dyDescent="0.4">
      <c r="A79" s="408" t="s">
        <v>411</v>
      </c>
      <c r="B79" s="408"/>
      <c r="C79" s="408"/>
      <c r="G79" s="408" t="s">
        <v>412</v>
      </c>
      <c r="H79" s="408"/>
      <c r="I79" s="408"/>
    </row>
    <row r="80" spans="1:9" ht="6.6" customHeight="1" thickTop="1" x14ac:dyDescent="0.3"/>
    <row r="81" spans="1:10" x14ac:dyDescent="0.3">
      <c r="B81" s="506" t="s">
        <v>331</v>
      </c>
      <c r="C81" s="511" t="str">
        <f>Choix_croch</f>
        <v>ISY-Rail v2 - L385 + EPDM + 4 vis</v>
      </c>
      <c r="D81" s="512"/>
      <c r="E81" s="512"/>
      <c r="F81" s="48"/>
      <c r="G81" s="506" t="s">
        <v>414</v>
      </c>
      <c r="H81" s="510" t="str">
        <f>mod_haut&amp;" x "&amp;mod_larg&amp;" x "&amp;mod_ep&amp;" mm"</f>
        <v>1762 x 1134 x 30 mm</v>
      </c>
      <c r="I81" s="503"/>
    </row>
    <row r="82" spans="1:10" x14ac:dyDescent="0.3">
      <c r="B82" s="506" t="s">
        <v>139</v>
      </c>
      <c r="C82" s="705">
        <f>Long_rail</f>
        <v>0.38500000000000001</v>
      </c>
      <c r="D82" s="48"/>
      <c r="E82" s="48"/>
      <c r="F82" s="48"/>
      <c r="G82" s="506" t="s">
        <v>244</v>
      </c>
      <c r="H82" s="514">
        <f>mod_poids</f>
        <v>21.6</v>
      </c>
    </row>
    <row r="83" spans="1:10" x14ac:dyDescent="0.3">
      <c r="D83" s="48"/>
      <c r="E83" s="48"/>
      <c r="F83" s="48"/>
      <c r="G83" s="506" t="s">
        <v>5</v>
      </c>
      <c r="H83" s="513">
        <f>'Configurateur ISY-PV'!J30</f>
        <v>445</v>
      </c>
      <c r="I83" s="509"/>
      <c r="J83" s="509"/>
    </row>
    <row r="84" spans="1:10" x14ac:dyDescent="0.3">
      <c r="D84" s="48"/>
      <c r="E84" s="48"/>
      <c r="F84" s="48"/>
      <c r="G84" s="506"/>
      <c r="H84" s="538"/>
      <c r="I84" s="509"/>
      <c r="J84" s="509"/>
    </row>
    <row r="85" spans="1:10" ht="18" thickBot="1" x14ac:dyDescent="0.4">
      <c r="A85" s="408" t="s">
        <v>501</v>
      </c>
      <c r="B85" s="408"/>
      <c r="C85" s="408"/>
    </row>
    <row r="86" spans="1:10" ht="15" thickTop="1" x14ac:dyDescent="0.3">
      <c r="H86" s="752">
        <f>Larg_Champs_PV</f>
        <v>7051.5999999999995</v>
      </c>
      <c r="I86" s="752"/>
    </row>
    <row r="87" spans="1:10" x14ac:dyDescent="0.3">
      <c r="A87" s="140" t="s">
        <v>132</v>
      </c>
      <c r="B87" s="503" t="str">
        <f>Choix_calep</f>
        <v>Portrait - ISY-RAIL</v>
      </c>
      <c r="C87" s="503"/>
      <c r="D87" s="503"/>
    </row>
    <row r="88" spans="1:10" x14ac:dyDescent="0.3">
      <c r="B88" s="23" t="s">
        <v>133</v>
      </c>
      <c r="C88" s="650">
        <f>nb_ligne</f>
        <v>2</v>
      </c>
    </row>
    <row r="89" spans="1:10" x14ac:dyDescent="0.3">
      <c r="B89" s="23" t="s">
        <v>134</v>
      </c>
      <c r="C89" s="650">
        <f>nb_colonne</f>
        <v>6</v>
      </c>
    </row>
    <row r="90" spans="1:10" x14ac:dyDescent="0.3">
      <c r="B90" s="23" t="s">
        <v>413</v>
      </c>
      <c r="C90" s="649">
        <f>nb_colonne*nb_ligne*'Configurateur ISY-PV'!$J$30/1000</f>
        <v>5.34</v>
      </c>
      <c r="D90" s="651"/>
      <c r="F90" s="707">
        <f>Haut_Champs_PV</f>
        <v>3549</v>
      </c>
      <c r="G90" s="23"/>
    </row>
    <row r="95" spans="1:10" ht="21" customHeight="1" x14ac:dyDescent="0.3"/>
    <row r="96" spans="1:10" ht="13.2" customHeight="1" x14ac:dyDescent="0.3"/>
    <row r="97" spans="1:9" ht="19.2" customHeight="1" x14ac:dyDescent="0.3"/>
    <row r="98" spans="1:9" ht="28.95" customHeight="1" thickBot="1" x14ac:dyDescent="0.4">
      <c r="A98" s="408" t="s">
        <v>418</v>
      </c>
      <c r="B98" s="408"/>
      <c r="C98" s="408"/>
      <c r="D98" s="408"/>
      <c r="E98" s="408"/>
    </row>
    <row r="99" spans="1:9" ht="15" thickTop="1" x14ac:dyDescent="0.3"/>
    <row r="100" spans="1:9" x14ac:dyDescent="0.3">
      <c r="B100" s="536" t="s">
        <v>415</v>
      </c>
      <c r="C100" s="542">
        <f>'EC1-Vent'!N23</f>
        <v>701.69526473759208</v>
      </c>
      <c r="E100" s="536" t="s">
        <v>497</v>
      </c>
      <c r="F100" s="542">
        <f>Sk*1000</f>
        <v>450</v>
      </c>
      <c r="H100" s="535" t="s">
        <v>419</v>
      </c>
      <c r="I100" s="544">
        <f>'EC1 - CC'!G2*1000</f>
        <v>128.10226474244638</v>
      </c>
    </row>
    <row r="101" spans="1:9" x14ac:dyDescent="0.3">
      <c r="B101" s="536" t="s">
        <v>416</v>
      </c>
      <c r="C101" s="541">
        <v>1.2250000000000001</v>
      </c>
      <c r="E101" s="536" t="s">
        <v>498</v>
      </c>
      <c r="F101" s="542">
        <f>'EC1-Neige'!C16*1000</f>
        <v>360.00000000000006</v>
      </c>
    </row>
    <row r="102" spans="1:9" x14ac:dyDescent="0.3">
      <c r="E102" s="536" t="s">
        <v>417</v>
      </c>
      <c r="F102" s="543">
        <f>'EC1-Neige'!C13</f>
        <v>0.8</v>
      </c>
    </row>
    <row r="104" spans="1:9" x14ac:dyDescent="0.3">
      <c r="A104" s="684" t="s">
        <v>500</v>
      </c>
      <c r="B104" s="684"/>
      <c r="C104" s="646"/>
      <c r="D104" s="14"/>
      <c r="E104" s="14"/>
      <c r="F104" s="14"/>
      <c r="G104" s="14"/>
      <c r="H104" s="14"/>
    </row>
    <row r="105" spans="1:9" ht="8.4" customHeight="1" x14ac:dyDescent="0.3">
      <c r="C105" s="645"/>
      <c r="D105" s="645"/>
      <c r="E105" s="645"/>
      <c r="F105" s="645"/>
      <c r="G105" s="645"/>
      <c r="H105" s="645"/>
      <c r="I105" s="645"/>
    </row>
    <row r="106" spans="1:9" x14ac:dyDescent="0.3">
      <c r="A106" s="751" t="e" vm="4">
        <f>VLOOKUP(choix_impl,Données!$U$24:$W$49,2,FALSE)</f>
        <v>#VALUE!</v>
      </c>
      <c r="B106" s="751"/>
      <c r="C106" s="751"/>
      <c r="E106" s="645"/>
      <c r="F106" s="645"/>
      <c r="G106" s="645"/>
      <c r="H106" s="645"/>
      <c r="I106" s="645"/>
    </row>
    <row r="107" spans="1:9" x14ac:dyDescent="0.3">
      <c r="A107" s="751"/>
      <c r="B107" s="751"/>
      <c r="C107" s="751"/>
      <c r="E107" s="645"/>
      <c r="F107" s="645"/>
      <c r="G107" s="645"/>
      <c r="H107" s="645"/>
      <c r="I107" s="645"/>
    </row>
    <row r="108" spans="1:9" x14ac:dyDescent="0.3">
      <c r="A108" s="751"/>
      <c r="B108" s="751"/>
      <c r="C108" s="751"/>
      <c r="E108" s="645"/>
      <c r="F108" s="645"/>
      <c r="G108" s="645"/>
      <c r="H108" s="645"/>
      <c r="I108" s="645"/>
    </row>
    <row r="109" spans="1:9" ht="11.4" customHeight="1" x14ac:dyDescent="0.3">
      <c r="A109" s="751"/>
      <c r="B109" s="751"/>
      <c r="C109" s="751"/>
      <c r="E109" s="645"/>
      <c r="F109" s="645"/>
      <c r="G109" s="645"/>
      <c r="H109" s="645"/>
      <c r="I109" s="645"/>
    </row>
    <row r="110" spans="1:9" x14ac:dyDescent="0.3">
      <c r="A110" s="751"/>
      <c r="B110" s="751"/>
      <c r="C110" s="751"/>
      <c r="E110" s="645"/>
      <c r="F110" s="645"/>
      <c r="G110" s="645"/>
      <c r="H110" s="645"/>
      <c r="I110" s="645"/>
    </row>
    <row r="111" spans="1:9" x14ac:dyDescent="0.3">
      <c r="A111" s="751"/>
      <c r="B111" s="751"/>
      <c r="C111" s="751"/>
      <c r="E111" s="645"/>
      <c r="F111" s="645"/>
      <c r="G111" s="645"/>
      <c r="H111" s="645"/>
      <c r="I111" s="645"/>
    </row>
    <row r="112" spans="1:9" x14ac:dyDescent="0.3">
      <c r="E112" s="645"/>
      <c r="F112" s="645"/>
      <c r="G112" s="645"/>
      <c r="H112" s="645"/>
      <c r="I112" s="645"/>
    </row>
    <row r="113" spans="1:9" x14ac:dyDescent="0.3">
      <c r="E113" s="645"/>
      <c r="F113" s="645"/>
      <c r="G113" s="645"/>
      <c r="H113" s="645"/>
      <c r="I113" s="645"/>
    </row>
    <row r="114" spans="1:9" x14ac:dyDescent="0.3">
      <c r="D114" s="645"/>
      <c r="E114" s="645"/>
      <c r="F114" s="645"/>
      <c r="G114" s="645"/>
      <c r="H114" s="645"/>
      <c r="I114" s="645"/>
    </row>
    <row r="115" spans="1:9" x14ac:dyDescent="0.3">
      <c r="D115" s="645"/>
      <c r="E115" s="645"/>
      <c r="F115" s="645"/>
      <c r="G115" s="645"/>
      <c r="H115" s="645"/>
      <c r="I115" s="645"/>
    </row>
    <row r="116" spans="1:9" x14ac:dyDescent="0.3">
      <c r="D116" s="645"/>
      <c r="E116" s="645"/>
      <c r="F116" s="645"/>
      <c r="G116" s="645"/>
      <c r="H116" s="645"/>
      <c r="I116" s="645"/>
    </row>
    <row r="117" spans="1:9" x14ac:dyDescent="0.3">
      <c r="D117" s="645"/>
      <c r="E117" s="645"/>
      <c r="F117" s="645"/>
      <c r="G117" s="645"/>
      <c r="H117" s="645"/>
      <c r="I117" s="645"/>
    </row>
    <row r="118" spans="1:9" x14ac:dyDescent="0.3">
      <c r="D118" s="645"/>
      <c r="E118" s="645"/>
      <c r="F118" s="645"/>
      <c r="G118" s="645"/>
      <c r="H118" s="645"/>
      <c r="I118" s="645"/>
    </row>
    <row r="119" spans="1:9" x14ac:dyDescent="0.3">
      <c r="D119" s="645"/>
      <c r="E119" s="645"/>
      <c r="F119" s="645"/>
      <c r="G119" s="645"/>
      <c r="H119" s="645"/>
      <c r="I119" s="645"/>
    </row>
    <row r="120" spans="1:9" x14ac:dyDescent="0.3">
      <c r="D120" s="645"/>
      <c r="E120" s="645"/>
      <c r="F120" s="645"/>
      <c r="G120" s="645"/>
      <c r="H120" s="645"/>
      <c r="I120" s="645"/>
    </row>
    <row r="121" spans="1:9" x14ac:dyDescent="0.3">
      <c r="D121" s="645"/>
      <c r="E121" s="645"/>
      <c r="F121" s="645"/>
      <c r="G121" s="645"/>
      <c r="H121" s="645"/>
      <c r="I121" s="645"/>
    </row>
    <row r="122" spans="1:9" x14ac:dyDescent="0.3">
      <c r="D122" s="645"/>
      <c r="E122" s="645"/>
      <c r="F122" s="645"/>
      <c r="G122" s="645"/>
      <c r="H122" s="645"/>
      <c r="I122" s="645"/>
    </row>
    <row r="123" spans="1:9" x14ac:dyDescent="0.3">
      <c r="B123" s="747" t="s">
        <v>514</v>
      </c>
      <c r="C123" s="748"/>
      <c r="D123" s="748"/>
      <c r="E123" s="748"/>
      <c r="F123" s="748"/>
      <c r="G123" s="748"/>
      <c r="H123" s="748"/>
      <c r="I123" s="749"/>
    </row>
    <row r="124" spans="1:9" x14ac:dyDescent="0.3">
      <c r="B124" s="523"/>
      <c r="C124" s="524" t="str">
        <f>'Configurateur ISY-PV'!$C$60</f>
        <v xml:space="preserve">Zone de toit </v>
      </c>
      <c r="D124" s="518" t="str">
        <f>'Configurateur ISY-PV'!$C$61</f>
        <v>Centre</v>
      </c>
      <c r="E124" s="519" t="str">
        <f>'Configurateur ISY-PV'!$C$62</f>
        <v>Egout</v>
      </c>
      <c r="F124" s="520" t="str">
        <f>'Configurateur ISY-PV'!$C$63</f>
        <v>Faitage</v>
      </c>
      <c r="G124" s="519" t="str">
        <f>'Configurateur ISY-PV'!$C$64</f>
        <v/>
      </c>
      <c r="H124" s="519" t="str">
        <f>'Configurateur ISY-PV'!$C$65</f>
        <v/>
      </c>
      <c r="I124" s="519" t="str">
        <f>'Configurateur ISY-PV'!$C$66</f>
        <v/>
      </c>
    </row>
    <row r="125" spans="1:9" x14ac:dyDescent="0.3">
      <c r="B125" s="525"/>
      <c r="C125" s="526" t="str">
        <f>'Configurateur ISY-PV'!D60</f>
        <v>ISY-RAIL</v>
      </c>
      <c r="D125" s="311" t="str">
        <f>'Configurateur ISY-PV'!D61</f>
        <v>2 par côté</v>
      </c>
      <c r="E125" s="521" t="str">
        <f>'Configurateur ISY-PV'!D62</f>
        <v>2 par côté</v>
      </c>
      <c r="F125" s="522" t="str">
        <f>'Configurateur ISY-PV'!D63</f>
        <v>2 par côté</v>
      </c>
      <c r="G125" s="699" t="str">
        <f>'Configurateur ISY-PV'!D64</f>
        <v/>
      </c>
      <c r="H125" s="521" t="str">
        <f>'Configurateur ISY-PV'!D65</f>
        <v/>
      </c>
      <c r="I125" s="522" t="str">
        <f>'Configurateur ISY-PV'!D66</f>
        <v/>
      </c>
    </row>
    <row r="126" spans="1:9" x14ac:dyDescent="0.3">
      <c r="B126" s="525"/>
      <c r="C126" s="526" t="str">
        <f>'Configurateur ISY-PV'!F60</f>
        <v>Etriers</v>
      </c>
      <c r="D126" s="158">
        <f>'Configurateur ISY-PV'!F61</f>
        <v>2</v>
      </c>
      <c r="E126" s="305">
        <f>'Configurateur ISY-PV'!F62</f>
        <v>2</v>
      </c>
      <c r="F126" s="150">
        <f>'Configurateur ISY-PV'!F63</f>
        <v>2</v>
      </c>
      <c r="G126" s="305" t="str">
        <f>'Configurateur ISY-PV'!F64</f>
        <v/>
      </c>
      <c r="H126" s="305" t="str">
        <f>'Configurateur ISY-PV'!F65</f>
        <v/>
      </c>
      <c r="I126" s="305" t="str">
        <f>'Configurateur ISY-PV'!F66</f>
        <v/>
      </c>
    </row>
    <row r="127" spans="1:9" x14ac:dyDescent="0.3">
      <c r="B127" s="527"/>
      <c r="C127" s="528" t="str">
        <f>'Configurateur ISY-PV'!G60</f>
        <v>Vis / Crochet</v>
      </c>
      <c r="D127" s="159">
        <f>'Configurateur ISY-PV'!G61</f>
        <v>2</v>
      </c>
      <c r="E127" s="306">
        <f>'Configurateur ISY-PV'!G62</f>
        <v>2</v>
      </c>
      <c r="F127" s="160">
        <f>'Configurateur ISY-PV'!G63</f>
        <v>2</v>
      </c>
      <c r="G127" s="306" t="str">
        <f>'Configurateur ISY-PV'!G64</f>
        <v/>
      </c>
      <c r="H127" s="306" t="str">
        <f>'Configurateur ISY-PV'!G65</f>
        <v/>
      </c>
      <c r="I127" s="306" t="str">
        <f>'Configurateur ISY-PV'!G66</f>
        <v/>
      </c>
    </row>
    <row r="128" spans="1:9" x14ac:dyDescent="0.3">
      <c r="A128" s="680" t="str">
        <f>_xlfn.CONCAT('EC1 - CC'!A39,'EC1 - CC'!A40,'EC1 - CC'!A44)</f>
        <v>SystELU_Upperp</v>
      </c>
      <c r="B128" s="681"/>
      <c r="C128" s="682" t="s">
        <v>503</v>
      </c>
      <c r="D128" s="683">
        <f>IFERROR(VLOOKUP(D$124,IF(Choix_forme=Données!$C$14,load_proj_MP,load_proj_BP),MATCH('Rapport ISY-RAIL'!$A128,load_proj_type,0),FALSE),"")</f>
        <v>-593.35618714159648</v>
      </c>
      <c r="E128" s="683">
        <f>IFERROR(VLOOKUP(E$124,IF(Choix_forme=Données!$C$14,load_proj_MP,load_proj_BP),MATCH('Rapport ISY-RAIL'!$A128,load_proj_type,0),FALSE),"")</f>
        <v>-628.44095037847615</v>
      </c>
      <c r="F128" s="683">
        <f>IFERROR(VLOOKUP(F$124,IF(Choix_forme=Données!$C$14,load_proj_MP,load_proj_BP),MATCH('Rapport ISY-RAIL'!$A128,load_proj_type,0),FALSE),"")</f>
        <v>-768.7800033259947</v>
      </c>
      <c r="G128" s="683" t="str">
        <f>IFERROR(VLOOKUP(G$124,IF(Choix_forme=Données!$C$14,load_proj_MP,load_proj_BP),MATCH('Rapport ISY-RAIL'!$A128,load_proj_type,0),FALSE),"")</f>
        <v/>
      </c>
      <c r="H128" s="683" t="str">
        <f>IFERROR(VLOOKUP(H$124,IF(Choix_forme=Données!$C$14,load_proj_MP,load_proj_BP),MATCH('Rapport ISY-RAIL'!$A128,load_proj_type,0),FALSE),"")</f>
        <v/>
      </c>
      <c r="I128" s="683" t="str">
        <f>IFERROR(VLOOKUP(I$124,IF(Choix_forme=Données!$C$14,load_proj_MP,load_proj_BP),MATCH('Rapport ISY-RAIL'!$A128,load_proj_type,0),FALSE),"")</f>
        <v/>
      </c>
    </row>
    <row r="129" spans="1:9" x14ac:dyDescent="0.3">
      <c r="A129" s="680" t="str">
        <f>_xlfn.CONCAT('EC1 - CC'!A39,'EC1 - CC'!A41,'EC1 - CC'!A44)</f>
        <v>SystELU_Downperp</v>
      </c>
      <c r="B129" s="527"/>
      <c r="C129" s="528" t="s">
        <v>504</v>
      </c>
      <c r="D129" s="698">
        <f>IFERROR(VLOOKUP(D$124,IF(Choix_forme=Données!$C$14,load_proj_MP,load_proj_BP),MATCH('Rapport ISY-RAIL'!$A129,load_proj_type,0),FALSE),"")</f>
        <v>939.0657724900459</v>
      </c>
      <c r="E129" s="698">
        <f>IFERROR(VLOOKUP(E$124,IF(Choix_forme=Données!$C$14,load_proj_MP,load_proj_BP),MATCH('Rapport ISY-RAIL'!$A129,load_proj_type,0),FALSE),"")</f>
        <v>981.16748837430146</v>
      </c>
      <c r="F129" s="698">
        <f>IFERROR(VLOOKUP(F$124,IF(Choix_forme=Données!$C$14,load_proj_MP,load_proj_BP),MATCH('Rapport ISY-RAIL'!$A129,load_proj_type,0),FALSE),"")</f>
        <v>939.0657724900459</v>
      </c>
      <c r="G129" s="698" t="str">
        <f>IFERROR(VLOOKUP(G$124,IF(Choix_forme=Données!$C$14,load_proj_MP,load_proj_BP),MATCH('Rapport ISY-RAIL'!$A129,load_proj_type,0),FALSE),"")</f>
        <v/>
      </c>
      <c r="H129" s="698" t="str">
        <f>IFERROR(VLOOKUP(H$124,IF(Choix_forme=Données!$C$14,load_proj_MP,load_proj_BP),MATCH('Rapport ISY-RAIL'!$A129,load_proj_type,0),FALSE),"")</f>
        <v/>
      </c>
      <c r="I129" s="698" t="str">
        <f>IFERROR(VLOOKUP(I$124,IF(Choix_forme=Données!$C$14,load_proj_MP,load_proj_BP),MATCH('Rapport ISY-RAIL'!$A129,load_proj_type,0),FALSE),"")</f>
        <v/>
      </c>
    </row>
    <row r="130" spans="1:9" x14ac:dyDescent="0.3">
      <c r="A130" s="680" t="str">
        <f>'EC1 - CC'!P56</f>
        <v>ISY-RAIL</v>
      </c>
      <c r="B130" s="681"/>
      <c r="C130" s="687" t="s">
        <v>530</v>
      </c>
      <c r="D130" s="695">
        <f>IFERROR(VLOOKUP(D$124,IF(Choix_forme=Données!$C$14,Verif_Mono,Verif_Bi),MATCH(_xlfn.CONCAT($A130,VALUE(_xlfn.TEXTBEFORE(D$125," "))),Sollic_posit,0),FALSE),"")</f>
        <v>0.29181257115684922</v>
      </c>
      <c r="E130" s="688">
        <f>IFERROR(VLOOKUP(E$124,IF(Choix_forme=Données!$C$14,Verif_Mono,Verif_Bi),MATCH(_xlfn.CONCAT($A130,VALUE(_xlfn.TEXTBEFORE(E$125," "))),Sollic_posit,0),FALSE),"")</f>
        <v>0.30489558442622067</v>
      </c>
      <c r="F130" s="695">
        <f>IFERROR(VLOOKUP(F$124,IF(Choix_forme=Données!$C$14,Verif_Mono,Verif_Bi),MATCH(_xlfn.CONCAT($A130,VALUE(_xlfn.TEXTBEFORE(F$125," "))),Sollic_posit,0),FALSE),"")</f>
        <v>0.29181257115684922</v>
      </c>
      <c r="G130" s="688" t="str">
        <f>IFERROR(VLOOKUP(G$124,IF(Choix_forme=Données!$C$14,Verif_Mono,Verif_Bi),MATCH(_xlfn.CONCAT($A130,VALUE(_xlfn.TEXTBEFORE(G$125," "))),Sollic_posit,0),FALSE),"")</f>
        <v/>
      </c>
      <c r="H130" s="695" t="str">
        <f>IFERROR(VLOOKUP(H$124,IF(Choix_forme=Données!$C$14,Verif_Mono,Verif_Bi),MATCH(_xlfn.CONCAT($A130,VALUE(_xlfn.TEXTBEFORE(H$125," "))),Sollic_posit,0),FALSE),"")</f>
        <v/>
      </c>
      <c r="I130" s="689" t="str">
        <f>IFERROR(VLOOKUP(I$124,IF(Choix_forme=Données!$C$14,Verif_Mono,Verif_Bi),MATCH(_xlfn.CONCAT($A130,VALUE(_xlfn.TEXTBEFORE(I$125," "))),Sollic_posit,0),FALSE),"")</f>
        <v/>
      </c>
    </row>
    <row r="131" spans="1:9" x14ac:dyDescent="0.3">
      <c r="A131" s="680" t="str">
        <f>'EC1 - CC'!V56</f>
        <v>Etrier inter</v>
      </c>
      <c r="B131" s="525"/>
      <c r="C131" s="646" t="s">
        <v>517</v>
      </c>
      <c r="D131" s="696">
        <f>IFERROR(VLOOKUP(D$124,IF(Choix_forme=Données!$C$14,Verif_Mono,Verif_Bi),MATCH(_xlfn.CONCAT($A131,D$126),Sollic_posit,0),FALSE),"")</f>
        <v>0.30332279866449091</v>
      </c>
      <c r="E131" s="690">
        <f>IFERROR(VLOOKUP(E$124,IF(Choix_forme=Données!$C$14,Verif_Mono,Verif_Bi),MATCH(_xlfn.CONCAT($A131,E$126),Sollic_posit,0),FALSE),"")</f>
        <v>0.31692185707413495</v>
      </c>
      <c r="F131" s="696">
        <f>IFERROR(VLOOKUP(F$124,IF(Choix_forme=Données!$C$14,Verif_Mono,Verif_Bi),MATCH(_xlfn.CONCAT($A131,F$126),Sollic_posit,0),FALSE),"")</f>
        <v>0.30332279866449091</v>
      </c>
      <c r="G131" s="690" t="str">
        <f>IFERROR(VLOOKUP(G$124,IF(Choix_forme=Données!$C$14,Verif_Mono,Verif_Bi),MATCH(_xlfn.CONCAT($A131,G$126),Sollic_posit,0),FALSE),"")</f>
        <v/>
      </c>
      <c r="H131" s="696" t="str">
        <f>IFERROR(VLOOKUP(H$124,IF(Choix_forme=Données!$C$14,Verif_Mono,Verif_Bi),MATCH(_xlfn.CONCAT($A131,H$126),Sollic_posit,0),FALSE),"")</f>
        <v/>
      </c>
      <c r="I131" s="691" t="str">
        <f>IFERROR(VLOOKUP(I$124,IF(Choix_forme=Données!$C$14,Verif_Mono,Verif_Bi),MATCH(_xlfn.CONCAT($A131,I$126),Sollic_posit,0),FALSE),"")</f>
        <v/>
      </c>
    </row>
    <row r="132" spans="1:9" x14ac:dyDescent="0.3">
      <c r="A132" s="680" t="str">
        <f>'EC1 - CC'!R56</f>
        <v>Vis</v>
      </c>
      <c r="B132" s="527"/>
      <c r="C132" s="692" t="s">
        <v>518</v>
      </c>
      <c r="D132" s="697">
        <f>IFERROR(VLOOKUP(D$124,IF(Choix_forme=Données!$C$14,Verif_Mono,Verif_Bi),MATCH(_xlfn.CONCAT($A132,D$127),Sollic_posit,0),FALSE),"")</f>
        <v>0.26844556394278674</v>
      </c>
      <c r="E132" s="693">
        <f>IFERROR(VLOOKUP(E$124,IF(Choix_forme=Données!$C$14,Verif_Mono,Verif_Bi),MATCH(_xlfn.CONCAT($A132,E$127),Sollic_posit,0),FALSE),"")</f>
        <v>0.28048094974280297</v>
      </c>
      <c r="F132" s="697">
        <f>IFERROR(VLOOKUP(F$124,IF(Choix_forme=Données!$C$14,Verif_Mono,Verif_Bi),MATCH(_xlfn.CONCAT($A132,F$127),Sollic_posit,0),FALSE),"")</f>
        <v>0.26844556394278674</v>
      </c>
      <c r="G132" s="693" t="str">
        <f>IFERROR(VLOOKUP(G$124,IF(Choix_forme=Données!$C$14,Verif_Mono,Verif_Bi),MATCH(_xlfn.CONCAT($A132,G$127),Sollic_posit,0),FALSE),"")</f>
        <v/>
      </c>
      <c r="H132" s="697" t="str">
        <f>IFERROR(VLOOKUP(H$124,IF(Choix_forme=Données!$C$14,Verif_Mono,Verif_Bi),MATCH(_xlfn.CONCAT($A132,H$127),Sollic_posit,0),FALSE),"")</f>
        <v/>
      </c>
      <c r="I132" s="694" t="str">
        <f>IFERROR(VLOOKUP(I$124,IF(Choix_forme=Données!$C$14,Verif_Mono,Verif_Bi),MATCH(_xlfn.CONCAT($A132,I$127),Sollic_posit,0),FALSE),"")</f>
        <v/>
      </c>
    </row>
    <row r="133" spans="1:9" ht="11.4" customHeight="1" x14ac:dyDescent="0.3"/>
    <row r="134" spans="1:9" ht="24" customHeight="1" x14ac:dyDescent="0.3">
      <c r="D134" s="700" t="s">
        <v>521</v>
      </c>
      <c r="E134" s="701" t="str">
        <f>IF(OR(D125="surcharge",E125="surcharge",F125="surcharge",G125="surcharge",H125="surcharge",I125="surcharge"),"Non conforme","Conforme")</f>
        <v>Conforme</v>
      </c>
    </row>
    <row r="135" spans="1:9" ht="11.4" customHeight="1" x14ac:dyDescent="0.3"/>
    <row r="136" spans="1:9" ht="15" customHeight="1" x14ac:dyDescent="0.3">
      <c r="B136" s="747" t="s">
        <v>522</v>
      </c>
      <c r="C136" s="748"/>
      <c r="D136" s="748"/>
      <c r="E136" s="748"/>
      <c r="F136" s="748"/>
      <c r="G136" s="748"/>
      <c r="H136" s="748"/>
      <c r="I136" s="749"/>
    </row>
    <row r="137" spans="1:9" ht="15" customHeight="1" x14ac:dyDescent="0.3">
      <c r="B137" s="523"/>
      <c r="C137" s="524" t="str">
        <f>'Configurateur ISY-PV'!$C$60</f>
        <v xml:space="preserve">Zone de toit </v>
      </c>
      <c r="D137" s="518" t="str">
        <f>'Configurateur ISY-PV'!$C$61</f>
        <v>Centre</v>
      </c>
      <c r="E137" s="519" t="str">
        <f>'Configurateur ISY-PV'!$C$62</f>
        <v>Egout</v>
      </c>
      <c r="F137" s="520" t="str">
        <f>'Configurateur ISY-PV'!$C$63</f>
        <v>Faitage</v>
      </c>
      <c r="G137" s="519" t="str">
        <f>'Configurateur ISY-PV'!$C$64</f>
        <v/>
      </c>
      <c r="H137" s="519" t="str">
        <f>'Configurateur ISY-PV'!$C$65</f>
        <v/>
      </c>
      <c r="I137" s="519" t="str">
        <f>'Configurateur ISY-PV'!$C$66</f>
        <v/>
      </c>
    </row>
    <row r="138" spans="1:9" ht="15" customHeight="1" x14ac:dyDescent="0.3">
      <c r="A138" s="680" t="str">
        <f>_xlfn.CONCAT('EC1 - CC'!A38,'EC1 - CC'!A40,'EC1 - CC'!A44)</f>
        <v>ModELU_Upperp</v>
      </c>
      <c r="B138" s="681"/>
      <c r="C138" s="682" t="s">
        <v>503</v>
      </c>
      <c r="D138" s="709">
        <f>IFERROR(VLOOKUP(D$124,IF(Choix_forme=Données!$C$14,load_proj_MP,load_proj_BP),MATCH('Rapport ISY-RAIL'!$A138,load_proj_type,0),FALSE),0)</f>
        <v>-985.95807912121916</v>
      </c>
      <c r="E138" s="709">
        <f>IFERROR(VLOOKUP(E$124,IF(Choix_forme=Données!$C$14,load_proj_MP,load_proj_BP),MATCH('Rapport ISY-RAIL'!$A138,load_proj_type,0),FALSE),0)</f>
        <v>-1217.3437883479098</v>
      </c>
      <c r="F138" s="709">
        <f>IFERROR(VLOOKUP(F$124,IF(Choix_forme=Données!$C$14,load_proj_MP,load_proj_BP),MATCH('Rapport ISY-RAIL'!$A138,load_proj_type,0),FALSE),0)</f>
        <v>-1014.1561858132587</v>
      </c>
      <c r="G138" s="709">
        <f>IFERROR(VLOOKUP(G$124,IF(Choix_forme=Données!$C$14,load_proj_MP,load_proj_BP),MATCH('Rapport ISY-RAIL'!$A138,load_proj_type,0),FALSE),0)</f>
        <v>0</v>
      </c>
      <c r="H138" s="709">
        <f>IFERROR(VLOOKUP(H$124,IF(Choix_forme=Données!$C$14,load_proj_MP,load_proj_BP),MATCH('Rapport ISY-RAIL'!$A138,load_proj_type,0),FALSE),0)</f>
        <v>0</v>
      </c>
      <c r="I138" s="709">
        <f>IFERROR(VLOOKUP(I$124,IF(Choix_forme=Données!$C$14,load_proj_MP,load_proj_BP),MATCH('Rapport ISY-RAIL'!$A138,load_proj_type,0),FALSE),0)</f>
        <v>0</v>
      </c>
    </row>
    <row r="139" spans="1:9" ht="15" customHeight="1" x14ac:dyDescent="0.3">
      <c r="A139" s="680" t="str">
        <f>_xlfn.CONCAT('EC1 - CC'!A38,'EC1 - CC'!A41,'EC1 - CC'!A44)</f>
        <v>ModELU_Downperp</v>
      </c>
      <c r="B139" s="302"/>
      <c r="C139" s="528" t="s">
        <v>504</v>
      </c>
      <c r="D139" s="710">
        <f>IFERROR(VLOOKUP(D$124,IF(Choix_forme=Données!$C$14,load_proj_MP,load_proj_BP),MATCH('Rapport ISY-RAIL'!$A139,load_proj_type,0),FALSE),0)</f>
        <v>939.0657724900459</v>
      </c>
      <c r="E139" s="710">
        <f>IFERROR(VLOOKUP(E$124,IF(Choix_forme=Données!$C$14,load_proj_MP,load_proj_BP),MATCH('Rapport ISY-RAIL'!$A139,load_proj_type,0),FALSE),0)</f>
        <v>981.16748837430146</v>
      </c>
      <c r="F139" s="710">
        <f>IFERROR(VLOOKUP(F$124,IF(Choix_forme=Données!$C$14,load_proj_MP,load_proj_BP),MATCH('Rapport ISY-RAIL'!$A139,load_proj_type,0),FALSE),0)</f>
        <v>939.0657724900459</v>
      </c>
      <c r="G139" s="710">
        <f>IFERROR(VLOOKUP(G$124,IF(Choix_forme=Données!$C$14,load_proj_MP,load_proj_BP),MATCH('Rapport ISY-RAIL'!$A139,load_proj_type,0),FALSE),0)</f>
        <v>0</v>
      </c>
      <c r="H139" s="710">
        <f>IFERROR(VLOOKUP(H$124,IF(Choix_forme=Données!$C$14,load_proj_MP,load_proj_BP),MATCH('Rapport ISY-RAIL'!$A139,load_proj_type,0),FALSE),0)</f>
        <v>0</v>
      </c>
      <c r="I139" s="710">
        <f>IFERROR(VLOOKUP(I$124,IF(Choix_forme=Données!$C$14,load_proj_MP,load_proj_BP),MATCH('Rapport ISY-RAIL'!$A139,load_proj_type,0),FALSE),0)</f>
        <v>0</v>
      </c>
    </row>
    <row r="140" spans="1:9" s="711" customFormat="1" ht="4.2" customHeight="1" x14ac:dyDescent="0.3">
      <c r="D140" s="711" t="b">
        <f>ABS(D138)&gt;$E143</f>
        <v>0</v>
      </c>
      <c r="E140" s="711" t="b">
        <f t="shared" ref="E140:I141" si="0">ABS(E138)&gt;$E143</f>
        <v>0</v>
      </c>
      <c r="F140" s="711" t="b">
        <f t="shared" si="0"/>
        <v>0</v>
      </c>
      <c r="G140" s="711" t="b">
        <f t="shared" si="0"/>
        <v>0</v>
      </c>
      <c r="H140" s="711" t="b">
        <f t="shared" si="0"/>
        <v>0</v>
      </c>
      <c r="I140" s="711" t="b">
        <f t="shared" si="0"/>
        <v>0</v>
      </c>
    </row>
    <row r="141" spans="1:9" s="711" customFormat="1" ht="4.2" customHeight="1" x14ac:dyDescent="0.3">
      <c r="D141" s="711" t="b">
        <f>ABS(D139)&gt;$E144</f>
        <v>0</v>
      </c>
      <c r="E141" s="711" t="b">
        <f t="shared" si="0"/>
        <v>0</v>
      </c>
      <c r="F141" s="711" t="b">
        <f t="shared" si="0"/>
        <v>0</v>
      </c>
      <c r="G141" s="711" t="b">
        <f t="shared" si="0"/>
        <v>0</v>
      </c>
      <c r="H141" s="711" t="b">
        <f t="shared" si="0"/>
        <v>0</v>
      </c>
      <c r="I141" s="711" t="b">
        <f t="shared" si="0"/>
        <v>0</v>
      </c>
    </row>
    <row r="142" spans="1:9" ht="15.6" customHeight="1" x14ac:dyDescent="0.3">
      <c r="D142" s="140" t="str">
        <f>'Configurateur ISY-PV'!G34</f>
        <v>Position étriers :</v>
      </c>
      <c r="E142" s="48" t="str">
        <f>VLOOKUP(Choix_calep,pos_etr_calep,2,FALSE)</f>
        <v>Bord Long</v>
      </c>
    </row>
    <row r="143" spans="1:9" ht="15.6" customHeight="1" x14ac:dyDescent="0.3">
      <c r="D143" s="140" t="s">
        <v>524</v>
      </c>
      <c r="E143" s="600">
        <f>HLOOKUP($E$142,mod_charg_adm,2,FALSE)</f>
        <v>2400</v>
      </c>
    </row>
    <row r="144" spans="1:9" ht="15.6" customHeight="1" x14ac:dyDescent="0.3">
      <c r="D144" s="140" t="s">
        <v>525</v>
      </c>
      <c r="E144" s="600">
        <f>HLOOKUP($E$142,mod_charg_adm,2,FALSE)</f>
        <v>2400</v>
      </c>
    </row>
    <row r="145" spans="1:8" ht="11.4" customHeight="1" x14ac:dyDescent="0.3">
      <c r="D145" s="23"/>
    </row>
    <row r="146" spans="1:8" ht="18" customHeight="1" x14ac:dyDescent="0.3">
      <c r="D146" s="700" t="s">
        <v>529</v>
      </c>
      <c r="E146" s="701" t="str" cm="1">
        <f t="array" ref="E146">_xlfn.SWITCH(TRUE,D140,Données!$C$35,E140,Données!$C$35,F140,Données!$C$35,G140,Données!$C$35,H140,Données!$C$35,I140,Données!$C$35,D141,Données!$C$35,E141,Données!$C$35,F141,Données!$C$35,G141,Données!$C$35,H141,Données!$C$35,I141,Données!$C$35,"Conforme")</f>
        <v>Conforme</v>
      </c>
    </row>
    <row r="147" spans="1:8" ht="11.4" customHeight="1" x14ac:dyDescent="0.3"/>
    <row r="148" spans="1:8" ht="11.4" customHeight="1" x14ac:dyDescent="0.3"/>
    <row r="149" spans="1:8" ht="20.399999999999999" thickBot="1" x14ac:dyDescent="0.45">
      <c r="A149" s="367" t="s">
        <v>384</v>
      </c>
      <c r="B149" s="367"/>
      <c r="C149" s="367"/>
      <c r="D149" s="367"/>
    </row>
    <row r="150" spans="1:8" ht="15" thickTop="1" x14ac:dyDescent="0.3"/>
    <row r="151" spans="1:8" ht="18" customHeight="1" x14ac:dyDescent="0.3">
      <c r="B151" s="529" t="str">
        <f>'Configurateur ISY-PV'!C45</f>
        <v>n° article</v>
      </c>
      <c r="C151" s="530" t="str">
        <f>'Configurateur ISY-PV'!D45</f>
        <v>Description</v>
      </c>
      <c r="D151" s="531"/>
      <c r="E151" s="531"/>
      <c r="F151" s="531"/>
      <c r="G151" s="532"/>
      <c r="H151" s="533" t="str">
        <f>'Configurateur ISY-PV'!G45</f>
        <v>Quantité</v>
      </c>
    </row>
    <row r="152" spans="1:8" ht="19.95" customHeight="1" x14ac:dyDescent="0.3">
      <c r="B152" s="534">
        <f>'Configurateur ISY-PV'!C46</f>
        <v>380100</v>
      </c>
      <c r="C152" s="155" t="str">
        <f>'Configurateur ISY-PV'!D46</f>
        <v>ISY-Rail v2 - L385 + EPDM + 4 vis</v>
      </c>
      <c r="D152" s="128"/>
      <c r="E152" s="128"/>
      <c r="F152" s="128"/>
      <c r="G152" s="166"/>
      <c r="H152" s="150">
        <f>'Configurateur ISY-PV'!G46</f>
        <v>24</v>
      </c>
    </row>
    <row r="153" spans="1:8" ht="19.95" customHeight="1" x14ac:dyDescent="0.3">
      <c r="B153" s="534">
        <f>'Configurateur ISY-PV'!C47</f>
        <v>300107</v>
      </c>
      <c r="C153" s="283" t="str">
        <f>'Configurateur ISY-PV'!D47</f>
        <v>ISY-Rail v2 - L710 + EPDM + 6 vis</v>
      </c>
      <c r="G153" s="167"/>
      <c r="H153" s="150">
        <f>'Configurateur ISY-PV'!G47</f>
        <v>4</v>
      </c>
    </row>
    <row r="154" spans="1:8" ht="19.95" customHeight="1" x14ac:dyDescent="0.3">
      <c r="B154" s="534">
        <f>'Configurateur ISY-PV'!C48</f>
        <v>380108</v>
      </c>
      <c r="C154" s="283" t="str">
        <f>'Configurateur ISY-PV'!D48</f>
        <v>Etriers spring exter black - ISY-PV</v>
      </c>
      <c r="G154" s="167"/>
      <c r="H154" s="150">
        <f>'Configurateur ISY-PV'!G48</f>
        <v>8</v>
      </c>
    </row>
    <row r="155" spans="1:8" ht="19.95" customHeight="1" x14ac:dyDescent="0.3">
      <c r="B155" s="534">
        <f>'Configurateur ISY-PV'!C49</f>
        <v>380109</v>
      </c>
      <c r="C155" s="283" t="str">
        <f>'Configurateur ISY-PV'!D49</f>
        <v>Etriers spring inter black - ISY-PV</v>
      </c>
      <c r="G155" s="167"/>
      <c r="H155" s="150">
        <f>'Configurateur ISY-PV'!G49</f>
        <v>20</v>
      </c>
    </row>
    <row r="156" spans="1:8" ht="19.95" customHeight="1" x14ac:dyDescent="0.3">
      <c r="B156" s="534">
        <f>'Configurateur ISY-PV'!C50</f>
        <v>380057</v>
      </c>
      <c r="C156" s="283" t="str">
        <f>'Configurateur ISY-PV'!D50</f>
        <v>Griffe MALT ISY-PV </v>
      </c>
      <c r="G156" s="167"/>
      <c r="H156" s="150">
        <f>'Configurateur ISY-PV'!G50</f>
        <v>12</v>
      </c>
    </row>
    <row r="157" spans="1:8" ht="19.95" customHeight="1" x14ac:dyDescent="0.3">
      <c r="B157" s="534">
        <f>'Configurateur ISY-PV'!C51</f>
        <v>380105</v>
      </c>
      <c r="C157" s="283" t="str">
        <f>'Configurateur ISY-PV'!D51</f>
        <v>Clip Omega - ISY PV</v>
      </c>
      <c r="G157" s="167"/>
      <c r="H157" s="150">
        <f>'Configurateur ISY-PV'!G51</f>
        <v>12</v>
      </c>
    </row>
    <row r="158" spans="1:8" ht="19.95" customHeight="1" x14ac:dyDescent="0.3">
      <c r="B158" s="534" t="str">
        <f>'Configurateur ISY-PV'!C52</f>
        <v>380016 V3</v>
      </c>
      <c r="C158" s="283" t="str">
        <f>'Configurateur ISY-PV'!D52</f>
        <v>Fixation micro-onduleur</v>
      </c>
      <c r="G158" s="167"/>
      <c r="H158" s="150">
        <f>'Configurateur ISY-PV'!G52</f>
        <v>12</v>
      </c>
    </row>
    <row r="159" spans="1:8" ht="19.95" customHeight="1" x14ac:dyDescent="0.3">
      <c r="B159" s="534" t="str">
        <f>'Configurateur ISY-PV'!C53</f>
        <v/>
      </c>
      <c r="C159" s="283" t="str">
        <f>'Configurateur ISY-PV'!D53</f>
        <v/>
      </c>
      <c r="G159" s="167"/>
      <c r="H159" s="150" t="str">
        <f>'Configurateur ISY-PV'!G53</f>
        <v/>
      </c>
    </row>
    <row r="160" spans="1:8" ht="19.95" customHeight="1" x14ac:dyDescent="0.3">
      <c r="B160" s="534" t="str">
        <f>'Configurateur ISY-PV'!C54</f>
        <v/>
      </c>
      <c r="C160" s="283" t="str">
        <f>'Configurateur ISY-PV'!D54</f>
        <v/>
      </c>
      <c r="G160" s="167"/>
      <c r="H160" s="150" t="str">
        <f>'Configurateur ISY-PV'!G54</f>
        <v/>
      </c>
    </row>
    <row r="161" spans="2:8" ht="19.95" customHeight="1" x14ac:dyDescent="0.3">
      <c r="B161" s="534" t="str">
        <f>'Configurateur ISY-PV'!C55</f>
        <v/>
      </c>
      <c r="C161" s="283" t="str">
        <f>'Configurateur ISY-PV'!D55</f>
        <v/>
      </c>
      <c r="G161" s="167"/>
      <c r="H161" s="150" t="str">
        <f>'Configurateur ISY-PV'!G55</f>
        <v/>
      </c>
    </row>
    <row r="162" spans="2:8" ht="19.95" customHeight="1" x14ac:dyDescent="0.3">
      <c r="B162" s="534" t="str">
        <f>'Configurateur ISY-PV'!C56</f>
        <v/>
      </c>
      <c r="C162" s="283" t="str">
        <f>'Configurateur ISY-PV'!D56</f>
        <v/>
      </c>
      <c r="G162" s="167"/>
      <c r="H162" s="150" t="str">
        <f>'Configurateur ISY-PV'!G56</f>
        <v/>
      </c>
    </row>
    <row r="163" spans="2:8" ht="19.95" customHeight="1" x14ac:dyDescent="0.3">
      <c r="B163" s="557" t="str">
        <f>'Configurateur ISY-PV'!C57</f>
        <v/>
      </c>
      <c r="C163" s="302" t="str">
        <f>'Configurateur ISY-PV'!D57</f>
        <v/>
      </c>
      <c r="D163" s="99"/>
      <c r="E163" s="99"/>
      <c r="F163" s="99"/>
      <c r="G163" s="303"/>
      <c r="H163" s="160" t="str">
        <f>'Configurateur ISY-PV'!G57</f>
        <v/>
      </c>
    </row>
  </sheetData>
  <sheetProtection algorithmName="SHA-512" hashValue="UAPANiMy3kyjP5TYASyexJCzRTm6Cz95HcQPHXpNlAMHiwa3Ve8dZ8ubeUe9kxpsTGw7WtZi/BN6CYoGQ3KhxA==" saltValue="w+WpHukPG6PNz2TGSUGLcA==" spinCount="100000" sheet="1" objects="1" scenarios="1"/>
  <mergeCells count="6">
    <mergeCell ref="B136:I136"/>
    <mergeCell ref="A18:J18"/>
    <mergeCell ref="G51:I52"/>
    <mergeCell ref="H86:I86"/>
    <mergeCell ref="A106:C111"/>
    <mergeCell ref="B123:I123"/>
  </mergeCells>
  <conditionalFormatting sqref="D125:I125">
    <cfRule type="expression" dxfId="12" priority="7">
      <formula>D$125="surcharge"</formula>
    </cfRule>
  </conditionalFormatting>
  <conditionalFormatting sqref="D138:I138">
    <cfRule type="expression" dxfId="11" priority="4">
      <formula>ABS(D138)&gt;$E$143</formula>
    </cfRule>
  </conditionalFormatting>
  <conditionalFormatting sqref="D139:I139">
    <cfRule type="expression" dxfId="10" priority="3">
      <formula>ABS(D139)&gt;$E$144</formula>
    </cfRule>
  </conditionalFormatting>
  <conditionalFormatting sqref="E134:F134">
    <cfRule type="expression" dxfId="9" priority="5">
      <formula>$E134="Conforme"</formula>
    </cfRule>
    <cfRule type="expression" dxfId="8" priority="6">
      <formula>$E134="Non conforme"</formula>
    </cfRule>
  </conditionalFormatting>
  <conditionalFormatting sqref="E146:F146">
    <cfRule type="expression" dxfId="7" priority="1">
      <formula>$E146="Conforme"</formula>
    </cfRule>
  </conditionalFormatting>
  <conditionalFormatting sqref="E146:H146">
    <cfRule type="expression" dxfId="6" priority="2">
      <formula>$E146="Consulter le fabricant de module"</formula>
    </cfRule>
  </conditionalFormatting>
  <pageMargins left="0.25" right="0.25" top="0.75" bottom="0.75" header="0.3" footer="0.3"/>
  <pageSetup paperSize="9" orientation="portrait" horizontalDpi="1200" verticalDpi="1200" r:id="rId1"/>
  <headerFooter differentFirst="1">
    <oddHeader>&amp;L&amp;G
&amp;C&amp;"+,Gras"&amp;16&amp;K002060&amp;A&amp;R&amp;K002060Date : &amp;D</oddHeader>
    <oddFooter>&amp;L
&amp;C&amp;F&amp;R&amp;P/&amp;N</oddFooter>
    <firstHeader>&amp;L&amp;G&amp;C&amp;G&amp;R&amp;G</firstHeader>
    <firstFooter>&amp;L&amp;"-,Gras italique"&amp;10&amp;K1E3E77ISY-PV (SAS)
RCS Marseille - 928 271 220 00016
contact@isy-pv.com&amp;R&amp;G</firstFooter>
  </headerFooter>
  <drawing r:id="rId2"/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E0796-6B99-4097-9326-CD57D014B677}">
  <sheetPr codeName="Feuil3"/>
  <dimension ref="A1:X105"/>
  <sheetViews>
    <sheetView topLeftCell="A47" zoomScale="145" zoomScaleNormal="145" workbookViewId="0">
      <selection activeCell="F69" sqref="F69"/>
    </sheetView>
  </sheetViews>
  <sheetFormatPr baseColWidth="10" defaultColWidth="11.5546875" defaultRowHeight="14.4" x14ac:dyDescent="0.3"/>
  <cols>
    <col min="1" max="1" width="14.44140625" bestFit="1" customWidth="1"/>
    <col min="2" max="2" width="21.6640625" bestFit="1" customWidth="1"/>
    <col min="3" max="3" width="14.44140625" customWidth="1"/>
    <col min="4" max="6" width="13.88671875" bestFit="1" customWidth="1"/>
    <col min="7" max="7" width="13.44140625" bestFit="1" customWidth="1"/>
    <col min="9" max="9" width="14.109375" bestFit="1" customWidth="1"/>
    <col min="10" max="10" width="30.109375" bestFit="1" customWidth="1"/>
    <col min="11" max="11" width="4.33203125" customWidth="1"/>
    <col min="13" max="13" width="9.44140625" customWidth="1"/>
    <col min="14" max="14" width="3.33203125" customWidth="1"/>
    <col min="15" max="15" width="33" customWidth="1"/>
    <col min="16" max="16" width="4.109375" customWidth="1"/>
    <col min="17" max="17" width="9.44140625" customWidth="1"/>
    <col min="18" max="18" width="3.6640625" customWidth="1"/>
  </cols>
  <sheetData>
    <row r="1" spans="1:24" ht="18" x14ac:dyDescent="0.35">
      <c r="A1" s="43" t="s">
        <v>153</v>
      </c>
      <c r="E1" t="s">
        <v>158</v>
      </c>
    </row>
    <row r="2" spans="1:24" x14ac:dyDescent="0.3">
      <c r="K2" s="432"/>
      <c r="L2" s="432"/>
      <c r="M2" s="433"/>
      <c r="N2" s="434"/>
      <c r="O2" s="433"/>
      <c r="P2" s="434"/>
      <c r="Q2" s="439"/>
      <c r="R2" s="432"/>
      <c r="U2" s="751"/>
      <c r="V2" s="751"/>
      <c r="W2" s="751"/>
      <c r="X2" s="751"/>
    </row>
    <row r="3" spans="1:24" ht="18" x14ac:dyDescent="0.35">
      <c r="A3" s="43" t="s">
        <v>44</v>
      </c>
      <c r="H3" t="s">
        <v>6</v>
      </c>
      <c r="I3" t="s">
        <v>523</v>
      </c>
      <c r="K3" s="432"/>
      <c r="L3" s="432"/>
      <c r="M3" s="432"/>
      <c r="N3" s="432"/>
      <c r="O3" s="432"/>
      <c r="P3" s="432"/>
      <c r="Q3" s="440"/>
      <c r="R3" s="435"/>
      <c r="U3" s="751"/>
      <c r="V3" s="751"/>
      <c r="W3" s="751"/>
      <c r="X3" s="751"/>
    </row>
    <row r="4" spans="1:24" x14ac:dyDescent="0.3">
      <c r="B4" t="s">
        <v>30</v>
      </c>
      <c r="C4" s="45" t="s">
        <v>88</v>
      </c>
      <c r="D4" s="45" t="s">
        <v>31</v>
      </c>
      <c r="H4" s="44" t="s">
        <v>34</v>
      </c>
      <c r="I4" t="str">
        <f>'Configurateur ISY-PV'!H34</f>
        <v>Bord Long</v>
      </c>
      <c r="K4" s="432"/>
      <c r="L4" s="438"/>
      <c r="M4" s="583"/>
      <c r="N4" s="585"/>
      <c r="O4" s="759" t="s">
        <v>223</v>
      </c>
      <c r="P4" s="585"/>
      <c r="Q4" s="585"/>
      <c r="R4" s="432"/>
      <c r="U4" s="751"/>
      <c r="V4" s="751"/>
      <c r="W4" s="751"/>
      <c r="X4" s="751"/>
    </row>
    <row r="5" spans="1:24" x14ac:dyDescent="0.3">
      <c r="B5" t="s">
        <v>32</v>
      </c>
      <c r="C5" s="46">
        <v>1.2</v>
      </c>
      <c r="D5" s="46">
        <v>2.4</v>
      </c>
      <c r="E5" s="46">
        <v>3.6</v>
      </c>
      <c r="F5" s="46">
        <v>4.8</v>
      </c>
      <c r="H5" s="44" t="s">
        <v>35</v>
      </c>
      <c r="I5" t="str">
        <f>'Configurateur ISY-PV'!I34</f>
        <v>Bords courts</v>
      </c>
      <c r="K5" s="432"/>
      <c r="L5" s="432"/>
      <c r="M5" s="584" t="s">
        <v>222</v>
      </c>
      <c r="N5" s="585"/>
      <c r="O5" s="759"/>
      <c r="P5" s="585"/>
      <c r="Q5" s="584" t="s">
        <v>222</v>
      </c>
      <c r="R5" s="432"/>
      <c r="U5" s="751"/>
      <c r="V5" s="751"/>
      <c r="W5" s="751"/>
      <c r="X5" s="751"/>
    </row>
    <row r="6" spans="1:24" x14ac:dyDescent="0.3">
      <c r="B6" t="s">
        <v>64</v>
      </c>
      <c r="C6" s="45">
        <v>2</v>
      </c>
      <c r="D6" s="45">
        <v>3</v>
      </c>
      <c r="H6" s="44" t="s">
        <v>36</v>
      </c>
      <c r="I6" t="str">
        <f>'Configurateur ISY-PV'!H34</f>
        <v>Bord Long</v>
      </c>
      <c r="K6" s="432"/>
      <c r="L6" s="432"/>
      <c r="M6" s="585"/>
      <c r="N6" s="589"/>
      <c r="O6" s="589"/>
      <c r="P6" s="589"/>
      <c r="Q6" s="585"/>
      <c r="R6" s="432"/>
      <c r="U6" s="751"/>
      <c r="V6" s="751"/>
      <c r="W6" s="751"/>
      <c r="X6" s="751"/>
    </row>
    <row r="7" spans="1:24" x14ac:dyDescent="0.3">
      <c r="B7" t="s">
        <v>137</v>
      </c>
      <c r="C7" s="14" t="s">
        <v>298</v>
      </c>
      <c r="D7" s="14" t="s">
        <v>299</v>
      </c>
      <c r="E7" s="14" t="s">
        <v>141</v>
      </c>
      <c r="F7" s="14" t="s">
        <v>142</v>
      </c>
      <c r="G7" s="14" t="s">
        <v>143</v>
      </c>
      <c r="H7" s="44" t="s">
        <v>37</v>
      </c>
      <c r="I7" t="str">
        <f>'Configurateur ISY-PV'!H34</f>
        <v>Bord Long</v>
      </c>
      <c r="K7" s="432"/>
      <c r="L7" s="432"/>
      <c r="M7" s="587"/>
      <c r="N7" s="589"/>
      <c r="O7" s="589"/>
      <c r="P7" s="589"/>
      <c r="Q7" s="587"/>
      <c r="R7" s="432"/>
      <c r="U7" s="751"/>
      <c r="V7" s="751"/>
      <c r="W7" s="751"/>
      <c r="X7" s="751"/>
    </row>
    <row r="8" spans="1:24" x14ac:dyDescent="0.3">
      <c r="B8" t="s">
        <v>319</v>
      </c>
      <c r="C8" s="14">
        <v>4</v>
      </c>
      <c r="D8" s="14">
        <v>3</v>
      </c>
      <c r="E8" s="14">
        <f>2</f>
        <v>2</v>
      </c>
      <c r="F8" s="14">
        <v>1</v>
      </c>
      <c r="G8" s="14">
        <v>0</v>
      </c>
      <c r="H8" s="44" t="s">
        <v>449</v>
      </c>
      <c r="I8" t="str">
        <f>'Configurateur ISY-PV'!H34</f>
        <v>Bord Long</v>
      </c>
      <c r="K8" s="432"/>
      <c r="L8" s="432"/>
      <c r="M8" s="587"/>
      <c r="N8" s="589"/>
      <c r="O8" s="589"/>
      <c r="P8" s="589"/>
      <c r="Q8" s="587"/>
      <c r="R8" s="432"/>
      <c r="U8" s="751"/>
      <c r="V8" s="751"/>
      <c r="W8" s="751"/>
      <c r="X8" s="751"/>
    </row>
    <row r="9" spans="1:24" x14ac:dyDescent="0.3">
      <c r="B9" t="s">
        <v>318</v>
      </c>
      <c r="C9" s="14">
        <v>2</v>
      </c>
      <c r="D9" s="14">
        <v>2</v>
      </c>
      <c r="E9" s="14">
        <v>1</v>
      </c>
      <c r="F9" s="14">
        <v>1</v>
      </c>
      <c r="G9" s="14">
        <v>0</v>
      </c>
      <c r="H9" s="44" t="s">
        <v>448</v>
      </c>
      <c r="I9" t="str">
        <f>'Configurateur ISY-PV'!I34</f>
        <v>Bords courts</v>
      </c>
      <c r="K9" s="432"/>
      <c r="L9" s="432"/>
      <c r="M9" s="588" t="s">
        <v>156</v>
      </c>
      <c r="N9" s="589"/>
      <c r="O9" s="590" t="s">
        <v>155</v>
      </c>
      <c r="P9" s="589"/>
      <c r="Q9" s="588" t="s">
        <v>156</v>
      </c>
      <c r="R9" s="432"/>
      <c r="U9" s="751"/>
      <c r="V9" s="751"/>
      <c r="W9" s="751"/>
      <c r="X9" s="751"/>
    </row>
    <row r="10" spans="1:24" x14ac:dyDescent="0.3">
      <c r="B10" t="s">
        <v>320</v>
      </c>
      <c r="C10" t="s">
        <v>321</v>
      </c>
      <c r="D10" t="s">
        <v>322</v>
      </c>
      <c r="K10" s="432"/>
      <c r="L10" s="432"/>
      <c r="M10" s="587"/>
      <c r="N10" s="589"/>
      <c r="O10" s="589"/>
      <c r="P10" s="589"/>
      <c r="Q10" s="587"/>
      <c r="R10" s="432"/>
      <c r="U10" s="751"/>
      <c r="V10" s="751"/>
      <c r="W10" s="751"/>
      <c r="X10" s="751"/>
    </row>
    <row r="11" spans="1:24" ht="28.8" x14ac:dyDescent="0.3">
      <c r="B11" s="48" t="s">
        <v>383</v>
      </c>
      <c r="C11" s="575" t="s">
        <v>390</v>
      </c>
      <c r="D11" s="575" t="s">
        <v>391</v>
      </c>
      <c r="E11" s="575" t="s">
        <v>393</v>
      </c>
      <c r="F11" s="575" t="s">
        <v>392</v>
      </c>
      <c r="K11" s="432"/>
      <c r="L11" s="432"/>
      <c r="M11" s="587"/>
      <c r="N11" s="589"/>
      <c r="O11" s="589"/>
      <c r="P11" s="589"/>
      <c r="Q11" s="587"/>
      <c r="R11" s="432"/>
      <c r="U11" s="751"/>
      <c r="V11" s="751"/>
      <c r="W11" s="751"/>
      <c r="X11" s="751"/>
    </row>
    <row r="12" spans="1:24" x14ac:dyDescent="0.3">
      <c r="B12" t="s">
        <v>538</v>
      </c>
      <c r="C12" s="14" t="s">
        <v>536</v>
      </c>
      <c r="D12" s="14" t="s">
        <v>535</v>
      </c>
      <c r="K12" s="432"/>
      <c r="L12" s="432"/>
      <c r="M12" s="587"/>
      <c r="N12" s="589"/>
      <c r="O12" s="589"/>
      <c r="P12" s="589"/>
      <c r="Q12" s="587"/>
      <c r="R12" s="432"/>
      <c r="U12" s="751"/>
      <c r="V12" s="751"/>
      <c r="W12" s="751"/>
      <c r="X12" s="751"/>
    </row>
    <row r="13" spans="1:24" ht="18" x14ac:dyDescent="0.35">
      <c r="A13" s="43" t="s">
        <v>363</v>
      </c>
      <c r="K13" s="432"/>
      <c r="L13" s="432"/>
      <c r="M13" s="585"/>
      <c r="N13" s="589"/>
      <c r="O13" s="589"/>
      <c r="P13" s="589"/>
      <c r="Q13" s="585"/>
      <c r="R13" s="432"/>
      <c r="U13" s="751"/>
      <c r="V13" s="751"/>
      <c r="W13" s="751"/>
      <c r="X13" s="751"/>
    </row>
    <row r="14" spans="1:24" x14ac:dyDescent="0.3">
      <c r="B14" s="1" t="s">
        <v>364</v>
      </c>
      <c r="C14" s="402" t="s">
        <v>164</v>
      </c>
      <c r="D14" s="403" t="s">
        <v>166</v>
      </c>
      <c r="K14" s="432"/>
      <c r="L14" s="432"/>
      <c r="M14" s="584" t="s">
        <v>239</v>
      </c>
      <c r="N14" s="585"/>
      <c r="O14" s="760" t="s">
        <v>224</v>
      </c>
      <c r="P14" s="585"/>
      <c r="Q14" s="584" t="s">
        <v>239</v>
      </c>
      <c r="R14" s="432"/>
      <c r="U14" s="751"/>
      <c r="V14" s="751"/>
      <c r="W14" s="751"/>
      <c r="X14" s="751"/>
    </row>
    <row r="15" spans="1:24" x14ac:dyDescent="0.3">
      <c r="B15" s="1" t="s">
        <v>365</v>
      </c>
      <c r="C15" s="404">
        <f>IF(Choix_forme=Données!C14,1,2)*toit_ramp*COS(RADIANS(pente))</f>
        <v>11.276311449430901</v>
      </c>
      <c r="D15" s="45"/>
      <c r="K15" s="432"/>
      <c r="L15" s="441"/>
      <c r="M15" s="586"/>
      <c r="N15" s="585"/>
      <c r="O15" s="760"/>
      <c r="P15" s="585"/>
      <c r="Q15" s="585"/>
      <c r="R15" s="441"/>
      <c r="U15" s="751"/>
      <c r="V15" s="751"/>
      <c r="W15" s="751"/>
      <c r="X15" s="751"/>
    </row>
    <row r="16" spans="1:24" x14ac:dyDescent="0.3">
      <c r="B16" s="1" t="s">
        <v>366</v>
      </c>
      <c r="C16" s="405">
        <f>toit_larg/IF(Choix_forme=Données!$C$14,1,2)/COS(RADIANS(pente))</f>
        <v>6.0019626367641434</v>
      </c>
      <c r="D16" s="45"/>
      <c r="K16" s="432"/>
      <c r="L16" s="432"/>
      <c r="M16" s="432"/>
      <c r="N16" s="432"/>
      <c r="O16" s="432"/>
      <c r="P16" s="432"/>
      <c r="Q16" s="432"/>
      <c r="R16" s="432"/>
      <c r="U16" s="751"/>
      <c r="V16" s="751"/>
      <c r="W16" s="751"/>
      <c r="X16" s="751"/>
    </row>
    <row r="17" spans="1:24" x14ac:dyDescent="0.3">
      <c r="C17" s="755" t="s">
        <v>367</v>
      </c>
      <c r="D17" s="756"/>
      <c r="E17" s="757" t="s">
        <v>368</v>
      </c>
      <c r="F17" s="758"/>
      <c r="K17" s="432"/>
      <c r="L17" s="432"/>
      <c r="M17" s="436"/>
      <c r="N17" s="432"/>
      <c r="O17" s="432"/>
      <c r="P17" s="432"/>
      <c r="Q17" s="432"/>
      <c r="R17" s="432"/>
      <c r="U17" s="751"/>
      <c r="V17" s="751"/>
      <c r="W17" s="751"/>
      <c r="X17" s="751"/>
    </row>
    <row r="18" spans="1:24" x14ac:dyDescent="0.3">
      <c r="C18" s="120" t="s">
        <v>369</v>
      </c>
      <c r="D18" s="452">
        <f>MIN(toit_long,2*haut_bat)</f>
        <v>16</v>
      </c>
      <c r="E18" s="120" t="s">
        <v>370</v>
      </c>
      <c r="F18" s="452">
        <f>MIN(toit_larg,2*haut_bat)</f>
        <v>11.28</v>
      </c>
      <c r="K18" s="432"/>
      <c r="L18" s="432"/>
      <c r="M18" s="432"/>
      <c r="N18" s="432"/>
      <c r="O18" s="432"/>
      <c r="P18" s="432"/>
      <c r="Q18" s="432"/>
      <c r="R18" s="432"/>
      <c r="U18" s="751"/>
      <c r="V18" s="751"/>
      <c r="W18" s="751"/>
      <c r="X18" s="751"/>
    </row>
    <row r="19" spans="1:24" x14ac:dyDescent="0.3">
      <c r="C19" s="97" t="s">
        <v>371</v>
      </c>
      <c r="D19" s="406">
        <f>MIN(toit_long,2*haut_bat)/10</f>
        <v>1.6</v>
      </c>
      <c r="E19" s="97" t="s">
        <v>372</v>
      </c>
      <c r="F19" s="406">
        <f>MIN(toit_larg,2*haut_bat)/10</f>
        <v>1.1279999999999999</v>
      </c>
      <c r="K19" s="432"/>
      <c r="L19" s="432"/>
      <c r="M19" s="442"/>
      <c r="N19" s="434"/>
      <c r="O19" s="433"/>
      <c r="P19" s="434"/>
      <c r="Q19" s="433"/>
      <c r="R19" s="432"/>
      <c r="U19" s="751"/>
      <c r="V19" s="751"/>
      <c r="W19" s="751"/>
      <c r="X19" s="751"/>
    </row>
    <row r="20" spans="1:24" x14ac:dyDescent="0.3">
      <c r="C20" s="97" t="s">
        <v>373</v>
      </c>
      <c r="D20" s="406">
        <f>MIN(toit_long,2*haut_bat)/4</f>
        <v>4</v>
      </c>
      <c r="E20" s="97" t="s">
        <v>374</v>
      </c>
      <c r="F20" s="406">
        <f>MIN(toit_larg,2*haut_bat)/4</f>
        <v>2.82</v>
      </c>
      <c r="K20" s="432"/>
      <c r="L20" s="435"/>
      <c r="M20" s="443"/>
      <c r="N20" s="432"/>
      <c r="O20" s="432"/>
      <c r="P20" s="432"/>
      <c r="Q20" s="440"/>
      <c r="R20" s="432"/>
      <c r="U20" s="751"/>
      <c r="V20" s="751"/>
      <c r="W20" s="751"/>
      <c r="X20" s="751"/>
    </row>
    <row r="21" spans="1:24" x14ac:dyDescent="0.3">
      <c r="C21" s="97" t="s">
        <v>375</v>
      </c>
      <c r="D21" s="406">
        <f>toit_dim0_e10/COS(RADIANS(pente))</f>
        <v>1.7026844359614595</v>
      </c>
      <c r="E21" s="97" t="s">
        <v>376</v>
      </c>
      <c r="F21" s="406">
        <f>toit_dim90_e10/COS(RADIANS(pente))</f>
        <v>1.2003925273528286</v>
      </c>
      <c r="K21" s="432"/>
      <c r="L21" s="432"/>
      <c r="M21" s="642"/>
      <c r="N21" s="607"/>
      <c r="O21" s="754" t="s">
        <v>223</v>
      </c>
      <c r="P21" s="607"/>
      <c r="Q21" s="644"/>
      <c r="R21" s="432"/>
      <c r="U21" s="751"/>
      <c r="V21" s="751"/>
      <c r="W21" s="751"/>
      <c r="X21" s="751"/>
    </row>
    <row r="22" spans="1:24" x14ac:dyDescent="0.3">
      <c r="C22" s="97" t="s">
        <v>377</v>
      </c>
      <c r="D22" s="406">
        <f>toit_dim0_e4/COS(RADIANS(pente))</f>
        <v>4.2567110899036482</v>
      </c>
      <c r="E22" s="97" t="s">
        <v>378</v>
      </c>
      <c r="F22" s="406">
        <f>toit_dim90_e4/COS(RADIANS(pente))</f>
        <v>3.0009813183820717</v>
      </c>
      <c r="K22" s="432"/>
      <c r="L22" s="432"/>
      <c r="M22" s="643"/>
      <c r="N22" s="608"/>
      <c r="O22" s="754"/>
      <c r="P22" s="608"/>
      <c r="Q22" s="643"/>
      <c r="R22" s="432"/>
      <c r="U22" s="751"/>
      <c r="V22" s="751"/>
      <c r="W22" s="751"/>
      <c r="X22" s="751"/>
    </row>
    <row r="23" spans="1:24" x14ac:dyDescent="0.3">
      <c r="C23" s="97" t="s">
        <v>243</v>
      </c>
      <c r="D23" s="406">
        <f>toit_ramp-2*toit_dim0_e10_proj</f>
        <v>2.5946311280770811</v>
      </c>
      <c r="E23" s="23" t="s">
        <v>240</v>
      </c>
      <c r="F23" s="406">
        <f>toit_long-2*toit_dim90_e10_proj</f>
        <v>15.089214945294341</v>
      </c>
      <c r="K23" s="432"/>
      <c r="L23" s="432"/>
      <c r="M23" s="451"/>
      <c r="N23" s="270"/>
      <c r="O23" s="270"/>
      <c r="P23" s="270"/>
      <c r="Q23" s="451"/>
      <c r="R23" s="432"/>
      <c r="U23" s="751"/>
      <c r="V23" s="751"/>
      <c r="W23" s="751"/>
      <c r="X23" s="751"/>
    </row>
    <row r="24" spans="1:24" x14ac:dyDescent="0.3">
      <c r="C24" s="97" t="s">
        <v>242</v>
      </c>
      <c r="D24" s="406">
        <f>toit_ramp-2*toit_dim0_e10_proj</f>
        <v>2.5946311280770811</v>
      </c>
      <c r="E24" s="97" t="s">
        <v>379</v>
      </c>
      <c r="F24" s="406">
        <f>toit_ramp-2*toit_dim90_e4_proj</f>
        <v>-1.9626367641434328E-3</v>
      </c>
      <c r="K24" s="432"/>
      <c r="L24" s="432"/>
      <c r="M24" s="451"/>
      <c r="N24" s="270"/>
      <c r="O24" s="270"/>
      <c r="P24" s="270"/>
      <c r="Q24" s="451"/>
      <c r="R24" s="432"/>
      <c r="U24">
        <v>1</v>
      </c>
      <c r="V24" s="751" t="e" vm="6">
        <v>#VALUE!</v>
      </c>
      <c r="W24" s="751"/>
    </row>
    <row r="25" spans="1:24" x14ac:dyDescent="0.3">
      <c r="C25" s="98" t="s">
        <v>241</v>
      </c>
      <c r="D25" s="407">
        <f>toit_long-2*toit_dim0_e4_proj</f>
        <v>8.976577820192702</v>
      </c>
      <c r="E25" s="98" t="s">
        <v>380</v>
      </c>
      <c r="F25" s="407">
        <f>toit_ramp-toit_dim90_e4_proj</f>
        <v>2.9990186816179283</v>
      </c>
      <c r="K25" s="432"/>
      <c r="L25" s="432"/>
      <c r="M25" s="451"/>
      <c r="N25" s="270"/>
      <c r="O25" s="270"/>
      <c r="P25" s="270"/>
      <c r="Q25" s="451"/>
      <c r="R25" s="432"/>
      <c r="V25" s="751"/>
      <c r="W25" s="751"/>
    </row>
    <row r="26" spans="1:24" x14ac:dyDescent="0.3">
      <c r="K26" s="432"/>
      <c r="L26" s="432"/>
      <c r="M26" s="451" t="s">
        <v>156</v>
      </c>
      <c r="N26" s="270"/>
      <c r="O26" s="270" t="s">
        <v>155</v>
      </c>
      <c r="P26" s="270"/>
      <c r="Q26" s="451" t="s">
        <v>156</v>
      </c>
      <c r="R26" s="432"/>
      <c r="V26" s="751"/>
      <c r="W26" s="751"/>
    </row>
    <row r="27" spans="1:24" ht="18" x14ac:dyDescent="0.35">
      <c r="A27" s="43" t="s">
        <v>38</v>
      </c>
      <c r="F27" s="43" t="s">
        <v>339</v>
      </c>
      <c r="I27" t="s">
        <v>399</v>
      </c>
      <c r="K27" s="432"/>
      <c r="L27" s="432"/>
      <c r="M27" s="451"/>
      <c r="N27" s="270"/>
      <c r="O27" s="270"/>
      <c r="P27" s="270"/>
      <c r="Q27" s="451"/>
      <c r="R27" s="432"/>
      <c r="V27" s="751"/>
      <c r="W27" s="751"/>
    </row>
    <row r="28" spans="1:24" x14ac:dyDescent="0.3">
      <c r="B28" s="23" t="s">
        <v>39</v>
      </c>
      <c r="C28" t="s">
        <v>40</v>
      </c>
      <c r="G28" s="23" t="s">
        <v>340</v>
      </c>
      <c r="H28" t="b">
        <f>NOT(
OR(Choix_croch="",
AND(NOT(Choix_croch='Config type'!$B$16),NOT(Choix_croch='Config type'!$B$17),NOT(Choix_croch='Config type'!$B$18),NOT(Choix_croch='Config type'!$B$19),NOT(Choix_croch='Config type'!$B$20),NOT(Choix_croch='Config type'!$B$21))))</f>
        <v>1</v>
      </c>
      <c r="I28" s="473" t="b">
        <f>NOT(OR(Choix_croch='Config type'!$B$16,Choix_croch='Config type'!$B$17,Choix_croch='Config type'!$B$18,Choix_croch='Config type'!$B$19,Choix_croch='Config type'!$B$20,Choix_croch='Config type'!$B$21))</f>
        <v>0</v>
      </c>
      <c r="K28" s="432"/>
      <c r="L28" s="432"/>
      <c r="M28" s="451"/>
      <c r="N28" s="270"/>
      <c r="O28" s="270"/>
      <c r="P28" s="270"/>
      <c r="Q28" s="451"/>
      <c r="R28" s="432"/>
      <c r="U28">
        <v>2</v>
      </c>
      <c r="V28" s="751" t="e" vm="7">
        <v>#VALUE!</v>
      </c>
      <c r="W28" s="751"/>
    </row>
    <row r="29" spans="1:24" x14ac:dyDescent="0.3">
      <c r="B29" s="23" t="s">
        <v>43</v>
      </c>
      <c r="C29" t="s">
        <v>40</v>
      </c>
      <c r="G29" s="23" t="s">
        <v>341</v>
      </c>
      <c r="H29" t="b">
        <f>AND(NOT(Choix_calep=""),OR(Choix_calep='Config type'!$B$31,Choix_calep='Config type'!$B$32,Choix_calep='Config type'!$B$33))</f>
        <v>1</v>
      </c>
      <c r="I29" s="473" t="b">
        <f>AND(NOT(Choix_calep=""),NOT(OR(Choix_calep='Config type'!$B$31,Choix_calep='Config type'!$B$32,Choix_calep='Config type'!$B$33)))</f>
        <v>0</v>
      </c>
      <c r="K29" s="432"/>
      <c r="L29" s="432"/>
      <c r="M29" s="451"/>
      <c r="N29" s="270"/>
      <c r="O29" s="270"/>
      <c r="P29" s="270"/>
      <c r="Q29" s="451"/>
      <c r="R29" s="432"/>
      <c r="V29" s="751"/>
      <c r="W29" s="751"/>
    </row>
    <row r="30" spans="1:24" x14ac:dyDescent="0.3">
      <c r="B30" s="23" t="s">
        <v>61</v>
      </c>
      <c r="C30" t="str">
        <f>"Débord de rail important : "&amp;Porte_a_faux/10&amp;" cm"</f>
        <v>Débord de rail important : 0 cm</v>
      </c>
      <c r="G30" s="23" t="s">
        <v>397</v>
      </c>
      <c r="H30" t="b">
        <f>AND(NOT(choix_charp=""),OR(choix_charp='Config type'!B38,choix_charp='Config type'!B39,choix_charp='Config type'!B40,choix_charp='Config type'!B41))</f>
        <v>1</v>
      </c>
      <c r="I30" s="428" t="b">
        <f>NOT(OR(choix_charp = 'Config type'!$B$38,choix_charp = 'Config type'!$B$39,choix_charp = 'Config type'!$B$40,choix_charp = 'Config type'!$B$41))</f>
        <v>0</v>
      </c>
      <c r="K30" s="432"/>
      <c r="L30" s="432"/>
      <c r="M30" s="271"/>
      <c r="N30" s="270"/>
      <c r="O30" s="270"/>
      <c r="P30" s="270"/>
      <c r="Q30" s="271"/>
      <c r="R30" s="432"/>
      <c r="V30" s="751"/>
      <c r="W30" s="751"/>
    </row>
    <row r="31" spans="1:24" x14ac:dyDescent="0.3">
      <c r="B31" s="23" t="s">
        <v>323</v>
      </c>
      <c r="C31" t="s">
        <v>324</v>
      </c>
      <c r="G31" s="23" t="s">
        <v>473</v>
      </c>
      <c r="H31" t="b">
        <f>OR(Long_rail='Config type'!B44,Long_rail='Config type'!B45,Long_rail='Config type'!B46,Long_rail='Config type'!B47)</f>
        <v>1</v>
      </c>
      <c r="I31" s="473" t="b">
        <f>NOT(OR(Long_rail='Config type'!B44,Long_rail='Config type'!B45,Long_rail='Config type'!B46,Long_rail='Config type'!B47))</f>
        <v>0</v>
      </c>
      <c r="K31" s="432"/>
      <c r="L31" s="432"/>
      <c r="M31" s="437" t="s">
        <v>239</v>
      </c>
      <c r="N31" s="271"/>
      <c r="O31" s="753" t="s">
        <v>224</v>
      </c>
      <c r="P31" s="271"/>
      <c r="Q31" s="437" t="s">
        <v>239</v>
      </c>
      <c r="R31" s="432"/>
      <c r="V31" s="751"/>
      <c r="W31" s="751"/>
    </row>
    <row r="32" spans="1:24" x14ac:dyDescent="0.3">
      <c r="B32" s="23" t="s">
        <v>394</v>
      </c>
      <c r="C32" t="s">
        <v>402</v>
      </c>
      <c r="K32" s="432"/>
      <c r="L32" s="441"/>
      <c r="M32" s="271"/>
      <c r="N32" s="271"/>
      <c r="O32" s="753"/>
      <c r="P32" s="271"/>
      <c r="Q32" s="271"/>
      <c r="R32" s="432"/>
      <c r="U32">
        <v>3</v>
      </c>
      <c r="V32" s="751" t="e" vm="8">
        <v>#VALUE!</v>
      </c>
      <c r="W32" s="751"/>
    </row>
    <row r="33" spans="1:23" x14ac:dyDescent="0.3">
      <c r="B33" s="23" t="s">
        <v>395</v>
      </c>
      <c r="C33" t="s">
        <v>396</v>
      </c>
      <c r="K33" s="432"/>
      <c r="L33" s="432"/>
      <c r="M33" s="432"/>
      <c r="N33" s="432"/>
      <c r="O33" s="432"/>
      <c r="P33" s="432"/>
      <c r="Q33" s="440"/>
      <c r="R33" s="432"/>
      <c r="V33" s="751"/>
      <c r="W33" s="751"/>
    </row>
    <row r="34" spans="1:23" x14ac:dyDescent="0.3">
      <c r="B34" s="23" t="s">
        <v>401</v>
      </c>
      <c r="C34" t="s">
        <v>400</v>
      </c>
      <c r="K34" s="432"/>
      <c r="L34" s="432"/>
      <c r="M34" s="436"/>
      <c r="N34" s="432"/>
      <c r="O34" s="444"/>
      <c r="P34" s="432"/>
      <c r="Q34" s="445"/>
      <c r="R34" s="432"/>
      <c r="V34" s="751"/>
      <c r="W34" s="751"/>
    </row>
    <row r="35" spans="1:23" x14ac:dyDescent="0.3">
      <c r="B35" s="23" t="s">
        <v>527</v>
      </c>
      <c r="C35" t="s">
        <v>528</v>
      </c>
      <c r="K35" s="432"/>
      <c r="L35" s="432"/>
      <c r="M35" s="436"/>
      <c r="N35" s="432"/>
      <c r="O35" s="444"/>
      <c r="P35" s="432"/>
      <c r="Q35" s="445"/>
      <c r="R35" s="432"/>
      <c r="V35" s="751"/>
      <c r="W35" s="751"/>
    </row>
    <row r="36" spans="1:23" x14ac:dyDescent="0.3">
      <c r="B36" s="23"/>
      <c r="K36" s="432"/>
      <c r="L36" s="432"/>
      <c r="M36" s="436"/>
      <c r="N36" s="432"/>
      <c r="O36" s="444"/>
      <c r="P36" s="432"/>
      <c r="Q36" s="445"/>
      <c r="R36" s="432"/>
      <c r="V36" s="751"/>
      <c r="W36" s="751"/>
    </row>
    <row r="37" spans="1:23" ht="18" x14ac:dyDescent="0.35">
      <c r="A37" s="43" t="s">
        <v>53</v>
      </c>
      <c r="B37" s="140" t="s">
        <v>138</v>
      </c>
      <c r="C37" s="339">
        <f>IF(OR(Choix_croch='Config type'!$B$12,Choix_croch='Config type'!$B$13),MAX('Configurateur ISY-PV'!I61:I66,'Configurateur ISY-PV'!F61:F66),MAX('Configurateur ISY-PV'!F61:F66))</f>
        <v>2</v>
      </c>
      <c r="K37" s="432"/>
      <c r="L37" s="432"/>
      <c r="M37" s="432"/>
      <c r="N37" s="432"/>
      <c r="O37" s="432"/>
      <c r="P37" s="432"/>
      <c r="Q37" s="440"/>
      <c r="R37" s="432"/>
      <c r="V37" s="751"/>
      <c r="W37" s="751"/>
    </row>
    <row r="38" spans="1:23" ht="17.399999999999999" customHeight="1" x14ac:dyDescent="0.35">
      <c r="A38" s="43"/>
      <c r="B38" t="s">
        <v>130</v>
      </c>
      <c r="C38" s="49">
        <v>1800</v>
      </c>
      <c r="H38" s="43"/>
      <c r="K38" s="432"/>
      <c r="L38" s="432"/>
      <c r="M38" s="432"/>
      <c r="N38" s="432"/>
      <c r="O38" s="432"/>
      <c r="P38" s="432"/>
      <c r="Q38" s="432"/>
      <c r="R38" s="432"/>
      <c r="U38">
        <v>4</v>
      </c>
      <c r="V38" s="751" t="e" vm="9">
        <v>#VALUE!</v>
      </c>
      <c r="W38" s="751"/>
    </row>
    <row r="39" spans="1:23" ht="17.399999999999999" customHeight="1" x14ac:dyDescent="0.35">
      <c r="A39" s="43"/>
      <c r="B39" t="s">
        <v>325</v>
      </c>
      <c r="C39" s="345">
        <f>IF(OR('Configurateur ISY-PV'!$D$61=Surcharge,'Configurateur ISY-PV'!$D$62=Surcharge,'Configurateur ISY-PV'!$D$63=Surcharge,'Configurateur ISY-PV'!$D$64=Surcharge,,'Configurateur ISY-PV'!$D$65=Surcharge,'Configurateur ISY-PV'!$D$66=Surcharge),0,MIN('Configurateur ISY-PV'!$I$61:$I$66))</f>
        <v>2</v>
      </c>
      <c r="H39" s="43"/>
      <c r="V39" s="751"/>
      <c r="W39" s="751"/>
    </row>
    <row r="40" spans="1:23" ht="17.399999999999999" customHeight="1" x14ac:dyDescent="0.35">
      <c r="A40" s="43"/>
      <c r="B40" t="s">
        <v>48</v>
      </c>
      <c r="C40" s="50">
        <v>1500</v>
      </c>
      <c r="H40" s="43"/>
      <c r="O40" t="s">
        <v>119</v>
      </c>
      <c r="V40" s="751"/>
      <c r="W40" s="751"/>
    </row>
    <row r="41" spans="1:23" ht="17.399999999999999" customHeight="1" x14ac:dyDescent="0.35">
      <c r="A41" s="43"/>
      <c r="B41" t="s">
        <v>403</v>
      </c>
      <c r="C41" s="50"/>
      <c r="H41" s="43"/>
      <c r="V41" s="751"/>
      <c r="W41" s="751"/>
    </row>
    <row r="42" spans="1:23" ht="17.399999999999999" customHeight="1" x14ac:dyDescent="0.3">
      <c r="B42" t="s">
        <v>54</v>
      </c>
      <c r="C42" s="51">
        <v>200</v>
      </c>
      <c r="G42" s="23" t="s">
        <v>16</v>
      </c>
      <c r="H42" s="53">
        <f>mod_haut</f>
        <v>1762</v>
      </c>
      <c r="U42">
        <v>5</v>
      </c>
      <c r="V42" s="751" t="e" vm="10">
        <v>#VALUE!</v>
      </c>
      <c r="W42" s="751"/>
    </row>
    <row r="43" spans="1:23" ht="17.399999999999999" customHeight="1" x14ac:dyDescent="0.3">
      <c r="B43" t="s">
        <v>55</v>
      </c>
      <c r="C43" s="51">
        <f>IF(OR(Choix_croch='Config type'!B12,Choix_croch='Config type'!B13),choix_nerv,Entr_chev-PaF_max)</f>
        <v>333.33</v>
      </c>
      <c r="G43" s="23" t="s">
        <v>17</v>
      </c>
      <c r="H43" s="53">
        <f>mod_larg</f>
        <v>1134</v>
      </c>
      <c r="O43">
        <v>1</v>
      </c>
      <c r="P43" t="s">
        <v>120</v>
      </c>
      <c r="V43" s="751"/>
      <c r="W43" s="751"/>
    </row>
    <row r="44" spans="1:23" ht="17.399999999999999" customHeight="1" x14ac:dyDescent="0.3">
      <c r="B44" t="s">
        <v>56</v>
      </c>
      <c r="C44" s="51">
        <v>300</v>
      </c>
      <c r="D44" t="s">
        <v>129</v>
      </c>
      <c r="G44" s="23" t="s">
        <v>29</v>
      </c>
      <c r="H44" s="53">
        <f>mod_ep</f>
        <v>30</v>
      </c>
      <c r="V44" s="751"/>
      <c r="W44" s="751"/>
    </row>
    <row r="45" spans="1:23" ht="17.399999999999999" customHeight="1" x14ac:dyDescent="0.3">
      <c r="B45" t="s">
        <v>57</v>
      </c>
      <c r="C45" s="51">
        <v>50</v>
      </c>
      <c r="G45" s="23" t="s">
        <v>68</v>
      </c>
      <c r="H45" s="54">
        <f>Long_rail</f>
        <v>0.38500000000000001</v>
      </c>
      <c r="V45" s="751"/>
      <c r="W45" s="751"/>
    </row>
    <row r="46" spans="1:23" ht="17.399999999999999" customHeight="1" x14ac:dyDescent="0.3">
      <c r="B46" t="s">
        <v>67</v>
      </c>
      <c r="C46" s="51">
        <v>50</v>
      </c>
      <c r="O46">
        <v>2</v>
      </c>
      <c r="P46" t="s">
        <v>121</v>
      </c>
      <c r="U46">
        <v>6</v>
      </c>
      <c r="V46" s="751" t="e" vm="11">
        <v>#VALUE!</v>
      </c>
      <c r="W46" s="751"/>
    </row>
    <row r="47" spans="1:23" ht="17.399999999999999" customHeight="1" x14ac:dyDescent="0.3">
      <c r="B47" t="s">
        <v>59</v>
      </c>
      <c r="C47" s="51">
        <v>25</v>
      </c>
      <c r="H47" s="53" t="str">
        <f>Choix_calep</f>
        <v>Portrait - ISY-RAIL</v>
      </c>
      <c r="V47" s="751"/>
      <c r="W47" s="751"/>
    </row>
    <row r="48" spans="1:23" ht="17.399999999999999" customHeight="1" x14ac:dyDescent="0.3">
      <c r="B48" t="s">
        <v>60</v>
      </c>
      <c r="C48" s="51">
        <v>20</v>
      </c>
      <c r="G48" s="23" t="s">
        <v>7</v>
      </c>
      <c r="H48" s="53">
        <f>nb_ligne</f>
        <v>2</v>
      </c>
      <c r="O48">
        <v>3</v>
      </c>
      <c r="P48" t="s">
        <v>122</v>
      </c>
      <c r="V48" s="751"/>
      <c r="W48" s="751"/>
    </row>
    <row r="49" spans="1:23" ht="17.399999999999999" customHeight="1" x14ac:dyDescent="0.3">
      <c r="B49" t="s">
        <v>62</v>
      </c>
      <c r="C49" s="52">
        <v>5</v>
      </c>
      <c r="G49" s="23" t="s">
        <v>8</v>
      </c>
      <c r="H49" s="53">
        <f>nb_colonne</f>
        <v>6</v>
      </c>
      <c r="O49">
        <v>4</v>
      </c>
      <c r="P49" t="s">
        <v>125</v>
      </c>
      <c r="V49" s="751"/>
      <c r="W49" s="751"/>
    </row>
    <row r="50" spans="1:23" ht="17.399999999999999" customHeight="1" x14ac:dyDescent="0.3">
      <c r="V50" t="e" vm="4">
        <f>VLOOKUP(choix_impl,U24:W49,2,FALSE)</f>
        <v>#VALUE!</v>
      </c>
    </row>
    <row r="51" spans="1:23" ht="29.4" x14ac:dyDescent="0.35">
      <c r="A51" s="43" t="s">
        <v>41</v>
      </c>
      <c r="D51" s="75" t="str">
        <f>$H$4</f>
        <v>Portrait - Rail horizontal</v>
      </c>
      <c r="E51" s="75" t="str">
        <f>$H$5</f>
        <v>Paysage - Rail horizontal</v>
      </c>
      <c r="F51" s="76" t="str">
        <f>$H$6</f>
        <v>Paysage - Rail Croisé</v>
      </c>
      <c r="G51" s="90" t="str">
        <f>$H$7</f>
        <v>Paysage - Rail vertical</v>
      </c>
      <c r="H51" s="580" t="str">
        <f>H8</f>
        <v>Portrait - ISY-RAIL</v>
      </c>
      <c r="I51" s="580" t="str">
        <f>H9</f>
        <v>Paysage - ISY-RAIL</v>
      </c>
      <c r="P51">
        <v>5</v>
      </c>
      <c r="Q51" t="s">
        <v>126</v>
      </c>
    </row>
    <row r="52" spans="1:23" x14ac:dyDescent="0.3">
      <c r="B52" s="23" t="s">
        <v>42</v>
      </c>
      <c r="C52" s="58">
        <f t="shared" ref="C52:C77" si="0">HLOOKUP(Choix_calep,Calcul_champs_PV,MATCH(B52,$B$51:$B$81,0),FALSE)</f>
        <v>3549</v>
      </c>
      <c r="D52" s="57">
        <f>IF(nb_ligne&gt;0,mod_haut*nb_ligne+interligne*(nb_ligne-1),0)</f>
        <v>3549</v>
      </c>
      <c r="E52" s="57">
        <f>IF(nb_ligne&gt;0,mod_larg*nb_ligne+interligne*(nb_ligne-1),0)</f>
        <v>2293</v>
      </c>
      <c r="F52" s="78">
        <f>IF(nb_ligne&gt;0,mod_larg*nb_ligne+larg_bri_int*(nb_ligne-1)+2*déb_bri,0)</f>
        <v>2388</v>
      </c>
      <c r="G52" s="84">
        <f>G84</f>
        <v>2393</v>
      </c>
      <c r="H52" s="57">
        <f>IF(nb_ligne&gt;0,mod_haut*nb_ligne+interligne*(nb_ligne-1),0)</f>
        <v>3549</v>
      </c>
      <c r="I52" s="57">
        <f>IF(nb_ligne&gt;0,mod_larg*nb_ligne+interligne*(nb_ligne-1),0)</f>
        <v>2293</v>
      </c>
      <c r="P52">
        <v>6</v>
      </c>
      <c r="Q52" t="s">
        <v>127</v>
      </c>
    </row>
    <row r="53" spans="1:23" x14ac:dyDescent="0.3">
      <c r="B53" s="23" t="s">
        <v>46</v>
      </c>
      <c r="C53" s="706">
        <f t="shared" si="0"/>
        <v>7051.5999999999995</v>
      </c>
      <c r="D53" s="77">
        <f>D$84</f>
        <v>7004</v>
      </c>
      <c r="E53" s="77">
        <f>E$84</f>
        <v>10772</v>
      </c>
      <c r="F53" s="79">
        <f>F$84</f>
        <v>10697</v>
      </c>
      <c r="G53" s="85">
        <f>IF(nb_colonne&gt;0,mod_haut*nb_colonne+(nb_colonne-1)*interligne,0)</f>
        <v>10697</v>
      </c>
      <c r="H53" s="602">
        <f>H$84</f>
        <v>7051.5999999999995</v>
      </c>
      <c r="I53" s="602">
        <f>I$84</f>
        <v>11051.56</v>
      </c>
      <c r="P53">
        <v>7</v>
      </c>
      <c r="Q53" t="s">
        <v>128</v>
      </c>
    </row>
    <row r="54" spans="1:23" x14ac:dyDescent="0.3">
      <c r="B54" s="23" t="s">
        <v>540</v>
      </c>
      <c r="C54" s="71">
        <f t="shared" si="0"/>
        <v>7</v>
      </c>
      <c r="D54" s="77">
        <f>IF(D$53/1000/Long_rail&gt;1,ROUNDDOWN((D$53+Interail)/1000/(Long_rail+Interail/1000),0),ROUNDDOWN(D$53/1000/Long_rail,0))</f>
        <v>17</v>
      </c>
      <c r="E54" s="77">
        <f>IF(E$53/1000/Long_rail&gt;1,ROUNDDOWN((E$53+Interail)/1000/(Long_rail+Interail/1000),0),ROUNDDOWN(E$53/1000/Long_rail,0))</f>
        <v>27</v>
      </c>
      <c r="F54" s="77">
        <f>IF(F$53/1000/Long_rail&gt;1,ROUNDDOWN((F$53+Interail)/1000/(Long_rail+Interail/1000),0),ROUNDDOWN(F$53/1000/Long_rail,0))</f>
        <v>27</v>
      </c>
      <c r="G54" s="77">
        <f>IF(G$52/1000/Long_rail&gt;1,ROUNDDOWN((G$52+Interail)/1000/(Long_rail+Interail/1000),0),ROUNDDOWN(G52/1000/Long_rail,0))</f>
        <v>6</v>
      </c>
      <c r="H54" s="59">
        <f>nb_colonne+1</f>
        <v>7</v>
      </c>
      <c r="I54" s="59">
        <f>nb_colonne+1</f>
        <v>7</v>
      </c>
      <c r="J54" t="s">
        <v>123</v>
      </c>
      <c r="K54" t="s">
        <v>124</v>
      </c>
    </row>
    <row r="55" spans="1:23" x14ac:dyDescent="0.3">
      <c r="B55" s="23" t="s">
        <v>542</v>
      </c>
      <c r="C55" s="68">
        <f t="shared" si="0"/>
        <v>0</v>
      </c>
      <c r="D55" s="51">
        <f>IF(D$53/1000/Long_rail&gt;1,MOD((D$53)/1000,(Long_rail+Interail/1000)),MOD(D$53/1000,Long_rail))*1000</f>
        <v>373.99999999999932</v>
      </c>
      <c r="E55" s="51">
        <f>IF(E$53/1000/Long_rail&gt;1,MOD((E$53)/1000,(Long_rail+Interail/1000)),MOD(E$53/1000,Long_rail))*1000</f>
        <v>241.99999999999989</v>
      </c>
      <c r="F55" s="80">
        <f>IF(F$53/1000/Long_rail&gt;1,MOD((F$53)/1000,(Long_rail+Interail/1000)),MOD(F$53/1000,Long_rail))*1000</f>
        <v>166.99999999999881</v>
      </c>
      <c r="G55" s="51">
        <f>IF(G52/1000/Long_rail&gt;1,MOD((G52)/1000,(Long_rail+Interail/1000)),MOD(G52/1000,Long_rail))*1000</f>
        <v>52.999999999999716</v>
      </c>
      <c r="H55" s="59"/>
      <c r="I55" s="59"/>
    </row>
    <row r="56" spans="1:23" x14ac:dyDescent="0.3">
      <c r="B56" s="23" t="s">
        <v>49</v>
      </c>
      <c r="C56" s="68">
        <f t="shared" si="0"/>
        <v>0</v>
      </c>
      <c r="D56" s="51">
        <f>IF(D55&lt;75,75,D55)</f>
        <v>373.99999999999932</v>
      </c>
      <c r="E56" s="51">
        <f>IF(E55&lt;75,75,E55)</f>
        <v>241.99999999999989</v>
      </c>
      <c r="F56" s="80">
        <f>IF(F55&lt;75,75,F55)</f>
        <v>166.99999999999881</v>
      </c>
      <c r="G56" s="51">
        <f>IF(G55&lt;75,75,G55)</f>
        <v>75</v>
      </c>
      <c r="H56" s="59"/>
      <c r="I56" s="59"/>
    </row>
    <row r="57" spans="1:23" x14ac:dyDescent="0.3">
      <c r="B57" s="23" t="s">
        <v>50</v>
      </c>
      <c r="C57" s="60">
        <f t="shared" si="0"/>
        <v>0</v>
      </c>
      <c r="D57" s="59" t="str">
        <f>IF(D55&lt;75,Long_rail*1000-75+D55,"")</f>
        <v/>
      </c>
      <c r="E57" s="59" t="str">
        <f>IF(E55&lt;75,Long_rail*1000-75+E55,"")</f>
        <v/>
      </c>
      <c r="F57" s="81" t="str">
        <f>IF(F55&lt;75,Long_rail*1000-75+F55,"")</f>
        <v/>
      </c>
      <c r="G57" s="59">
        <f>IF(G55&lt;75,Long_rail*1000-75+G55,"")</f>
        <v>362.99999999999972</v>
      </c>
      <c r="H57" s="59"/>
      <c r="I57" s="59"/>
    </row>
    <row r="58" spans="1:23" x14ac:dyDescent="0.3">
      <c r="B58" s="23" t="s">
        <v>541</v>
      </c>
      <c r="C58" s="74">
        <f t="shared" si="0"/>
        <v>0</v>
      </c>
      <c r="D58" s="77">
        <f>ROUNDDOWN(Long_rail/D56*1000,0)</f>
        <v>1</v>
      </c>
      <c r="E58" s="77">
        <f>ROUNDDOWN(Long_rail/E56*1000,0)</f>
        <v>1</v>
      </c>
      <c r="F58" s="77">
        <f>ROUNDDOWN(Long_rail/F56*1000,0)</f>
        <v>2</v>
      </c>
      <c r="G58" s="77">
        <f>ROUNDDOWN(Long_rail/G56*1000,0)</f>
        <v>5</v>
      </c>
      <c r="H58" s="59"/>
      <c r="I58" s="59"/>
    </row>
    <row r="59" spans="1:23" x14ac:dyDescent="0.3">
      <c r="B59" s="23" t="s">
        <v>74</v>
      </c>
      <c r="C59" s="74">
        <f t="shared" si="0"/>
        <v>2</v>
      </c>
      <c r="D59" s="77">
        <f>nb_ligne</f>
        <v>2</v>
      </c>
      <c r="E59" s="77">
        <f>nb_ligne</f>
        <v>2</v>
      </c>
      <c r="F59" s="79">
        <f>ROUNDUP((F52-2*PaF_max)/Entr_croch_min,0)+1</f>
        <v>895</v>
      </c>
      <c r="G59" s="77">
        <f>nb_colonne</f>
        <v>6</v>
      </c>
      <c r="H59" s="77">
        <f>nb_ligne</f>
        <v>2</v>
      </c>
      <c r="I59" s="77">
        <f>nb_ligne</f>
        <v>2</v>
      </c>
    </row>
    <row r="60" spans="1:23" x14ac:dyDescent="0.3">
      <c r="B60" s="23" t="s">
        <v>546</v>
      </c>
      <c r="C60" s="67">
        <f t="shared" si="0"/>
        <v>28</v>
      </c>
      <c r="D60" s="21">
        <f>choix_brid*D59*D54+IFERROR(ROUNDUP(choix_brid*D59/D58,0),0)</f>
        <v>72</v>
      </c>
      <c r="E60" s="21">
        <f>choix_brid*E59*E54+IFERROR(ROUNDUP(choix_brid*E59/E58,0),0)</f>
        <v>112</v>
      </c>
      <c r="F60" s="21">
        <f>F59*F54+IFERROR(ROUNDUP(F59/F58,0),0)</f>
        <v>24613</v>
      </c>
      <c r="G60" s="21">
        <f>choix_brid*G59*G54+IFERROR(ROUNDUP(choix_brid*G59/G58,0),0)</f>
        <v>75</v>
      </c>
      <c r="H60" s="21">
        <f>choix_brid*H59*H54</f>
        <v>28</v>
      </c>
      <c r="I60" s="21">
        <f>choix_brid*I59*I54</f>
        <v>28</v>
      </c>
    </row>
    <row r="61" spans="1:23" x14ac:dyDescent="0.3">
      <c r="B61" s="23" t="s">
        <v>83</v>
      </c>
      <c r="C61" s="77">
        <f t="shared" si="0"/>
        <v>0</v>
      </c>
      <c r="D61" s="77">
        <f>(D54)</f>
        <v>17</v>
      </c>
      <c r="E61" s="77">
        <f>(E54)</f>
        <v>27</v>
      </c>
      <c r="F61" s="77">
        <f>F54</f>
        <v>27</v>
      </c>
      <c r="G61" s="77">
        <f>(G54)</f>
        <v>6</v>
      </c>
      <c r="H61" s="59"/>
      <c r="I61" s="59"/>
    </row>
    <row r="62" spans="1:23" x14ac:dyDescent="0.3">
      <c r="B62" s="23" t="s">
        <v>77</v>
      </c>
      <c r="C62" s="67">
        <f t="shared" si="0"/>
        <v>0</v>
      </c>
      <c r="D62" s="21">
        <f>choix_brid*D59*D61</f>
        <v>68</v>
      </c>
      <c r="E62" s="21">
        <f>choix_brid*E59*E61</f>
        <v>108</v>
      </c>
      <c r="F62" s="82">
        <f>F61*F59</f>
        <v>24165</v>
      </c>
      <c r="G62" s="21">
        <f>choix_brid*G59*G61</f>
        <v>72</v>
      </c>
      <c r="H62" s="21"/>
      <c r="I62" s="21"/>
    </row>
    <row r="63" spans="1:23" x14ac:dyDescent="0.3">
      <c r="B63" s="23" t="s">
        <v>85</v>
      </c>
      <c r="C63" s="71">
        <f t="shared" si="0"/>
        <v>0</v>
      </c>
      <c r="D63" s="77">
        <f>ROUNDUP((D53-PaF_max*2)/Entr_croch_min,0)+1</f>
        <v>3203</v>
      </c>
      <c r="E63" s="77" cm="1">
        <f t="array" ref="E63">ROUNDUP((E53-PaF_max*2)/Entr_croch_min,0)+1</f>
        <v>5087</v>
      </c>
      <c r="F63" s="79" cm="1">
        <f t="array" ref="F63">ROUNDUP((F53-PaF_max*2)/Entr_croch_min,0)+1</f>
        <v>5050</v>
      </c>
      <c r="G63" s="77" cm="1">
        <f t="array" ref="G63">ROUNDUP((G52-PaF_max*2)/Entr_croch_min,0)+1</f>
        <v>898</v>
      </c>
      <c r="H63" s="59"/>
      <c r="I63" s="59"/>
    </row>
    <row r="64" spans="1:23" x14ac:dyDescent="0.3">
      <c r="B64" s="23" t="s">
        <v>45</v>
      </c>
      <c r="C64" s="67">
        <f t="shared" si="0"/>
        <v>0</v>
      </c>
      <c r="D64" s="21">
        <f>D63*choix_brid*D59</f>
        <v>12812</v>
      </c>
      <c r="E64" s="21">
        <f>E63*choix_brid*E59</f>
        <v>20348</v>
      </c>
      <c r="F64" s="82">
        <f>F63*F59</f>
        <v>4519750</v>
      </c>
      <c r="G64" s="21">
        <f>G63*choix_brid*G59</f>
        <v>10776</v>
      </c>
      <c r="H64" s="21"/>
      <c r="I64" s="21"/>
    </row>
    <row r="65" spans="2:9" x14ac:dyDescent="0.3">
      <c r="B65" s="23" t="s">
        <v>63</v>
      </c>
      <c r="C65" s="69">
        <f t="shared" si="0"/>
        <v>0</v>
      </c>
      <c r="D65" s="52">
        <f>(D53-D80+2*déb_bri)/2</f>
        <v>50</v>
      </c>
      <c r="E65" s="52">
        <f>(E53-E80+2*déb_bri)/2</f>
        <v>50</v>
      </c>
      <c r="F65" s="89">
        <f>(F53-F80)/2</f>
        <v>0</v>
      </c>
      <c r="G65" s="52">
        <f>(G52-G80+2*déb_bri)/2</f>
        <v>50</v>
      </c>
      <c r="H65" s="62"/>
      <c r="I65" s="62"/>
    </row>
    <row r="66" spans="2:9" x14ac:dyDescent="0.3">
      <c r="B66" s="23" t="s">
        <v>75</v>
      </c>
      <c r="C66" s="70">
        <f t="shared" si="0"/>
        <v>0</v>
      </c>
      <c r="D66" s="86"/>
      <c r="E66" s="86"/>
      <c r="F66" s="87">
        <f>IF(F52/1000/Long_rail&gt;1,ROUNDDOWN((F52+Interail)/1000/(Long_rail+Interail/1000),0),ROUNDDOWN(F52/1000/Long_rail,0))</f>
        <v>6</v>
      </c>
      <c r="G66" s="88"/>
      <c r="H66" s="57"/>
      <c r="I66" s="57"/>
    </row>
    <row r="67" spans="2:9" x14ac:dyDescent="0.3">
      <c r="B67" s="23" t="s">
        <v>80</v>
      </c>
      <c r="C67" s="68">
        <f t="shared" si="0"/>
        <v>0</v>
      </c>
      <c r="D67" s="51"/>
      <c r="E67" s="51"/>
      <c r="F67" s="80">
        <f>IF(F52/1000/Long_rail&gt;1,MOD((F52)/1000,(Long_rail+Interail/1000)),MOD(F52/1000,Long_rail))*1000</f>
        <v>47.999999999999822</v>
      </c>
      <c r="G67" s="59"/>
      <c r="H67" s="59"/>
      <c r="I67" s="59"/>
    </row>
    <row r="68" spans="2:9" x14ac:dyDescent="0.3">
      <c r="B68" s="23" t="s">
        <v>81</v>
      </c>
      <c r="C68" s="68">
        <f t="shared" si="0"/>
        <v>0</v>
      </c>
      <c r="D68" s="59"/>
      <c r="E68" s="59"/>
      <c r="F68" s="81">
        <f>IF(F67&lt;75,75,F67)</f>
        <v>75</v>
      </c>
      <c r="G68" s="59"/>
      <c r="H68" s="59"/>
      <c r="I68" s="59"/>
    </row>
    <row r="69" spans="2:9" x14ac:dyDescent="0.3">
      <c r="B69" s="23" t="s">
        <v>82</v>
      </c>
      <c r="C69" s="68">
        <f t="shared" si="0"/>
        <v>0</v>
      </c>
      <c r="D69" s="59"/>
      <c r="E69" s="59"/>
      <c r="F69" s="81">
        <f>IF(F67&lt;75,Long_rail*1000-75+F67,"")</f>
        <v>357.99999999999983</v>
      </c>
      <c r="G69" s="59"/>
      <c r="H69" s="59"/>
      <c r="I69" s="59"/>
    </row>
    <row r="70" spans="2:9" x14ac:dyDescent="0.3">
      <c r="B70" s="23" t="s">
        <v>544</v>
      </c>
      <c r="C70" s="71">
        <f t="shared" si="0"/>
        <v>0</v>
      </c>
      <c r="D70" s="59"/>
      <c r="E70" s="59"/>
      <c r="F70" s="81">
        <f>ROUNDDOWN(Long_rail/F68*1000,0)</f>
        <v>5</v>
      </c>
      <c r="G70" s="59"/>
      <c r="H70" s="59"/>
      <c r="I70" s="59"/>
    </row>
    <row r="71" spans="2:9" x14ac:dyDescent="0.3">
      <c r="B71" s="23" t="s">
        <v>76</v>
      </c>
      <c r="C71" s="71">
        <f t="shared" si="0"/>
        <v>0</v>
      </c>
      <c r="D71" s="51"/>
      <c r="E71" s="51"/>
      <c r="F71" s="79">
        <f>nb_colonne</f>
        <v>6</v>
      </c>
      <c r="G71" s="59"/>
      <c r="H71" s="59"/>
      <c r="I71" s="59"/>
    </row>
    <row r="72" spans="2:9" x14ac:dyDescent="0.3">
      <c r="B72" s="23" t="s">
        <v>545</v>
      </c>
      <c r="C72" s="67">
        <f t="shared" si="0"/>
        <v>0</v>
      </c>
      <c r="D72" s="51"/>
      <c r="E72" s="51"/>
      <c r="F72" s="82">
        <f>choix_brid*F71*F66+IFERROR(ROUNDUP(choix_brid*F71/F70,0),0)</f>
        <v>75</v>
      </c>
      <c r="G72" s="59"/>
      <c r="H72" s="59"/>
      <c r="I72" s="59"/>
    </row>
    <row r="73" spans="2:9" x14ac:dyDescent="0.3">
      <c r="B73" s="23" t="s">
        <v>78</v>
      </c>
      <c r="C73" s="71">
        <f t="shared" si="0"/>
        <v>0</v>
      </c>
      <c r="D73" s="51"/>
      <c r="E73" s="51"/>
      <c r="F73" s="79">
        <f>(F66-1)</f>
        <v>5</v>
      </c>
      <c r="G73" s="59"/>
      <c r="H73" s="59"/>
      <c r="I73" s="59"/>
    </row>
    <row r="74" spans="2:9" x14ac:dyDescent="0.3">
      <c r="B74" s="23" t="s">
        <v>79</v>
      </c>
      <c r="C74" s="67">
        <f t="shared" si="0"/>
        <v>0</v>
      </c>
      <c r="D74" s="51"/>
      <c r="E74" s="59"/>
      <c r="F74" s="81">
        <f>choix_brid*F71*F73</f>
        <v>60</v>
      </c>
      <c r="G74" s="59"/>
      <c r="H74" s="59"/>
      <c r="I74" s="59"/>
    </row>
    <row r="75" spans="2:9" x14ac:dyDescent="0.3">
      <c r="B75" s="23" t="s">
        <v>70</v>
      </c>
      <c r="C75" s="73">
        <f t="shared" si="0"/>
        <v>0</v>
      </c>
      <c r="D75" s="52"/>
      <c r="E75" s="62"/>
      <c r="F75" s="83">
        <f>2*F71*choix_brid*Données!F59</f>
        <v>21480</v>
      </c>
      <c r="G75" s="62"/>
      <c r="H75" s="62"/>
      <c r="I75" s="62"/>
    </row>
    <row r="76" spans="2:9" x14ac:dyDescent="0.3">
      <c r="B76" s="23" t="s">
        <v>105</v>
      </c>
      <c r="C76" s="20">
        <f t="shared" si="0"/>
        <v>8</v>
      </c>
      <c r="D76" s="62">
        <f>2*choix_brid*nb_ligne</f>
        <v>8</v>
      </c>
      <c r="E76" s="62">
        <f>2*choix_brid*nb_ligne</f>
        <v>8</v>
      </c>
      <c r="F76" s="62">
        <f>2*choix_brid*nb_colonne</f>
        <v>24</v>
      </c>
      <c r="G76" s="62">
        <f>2*choix_brid*nb_colonne</f>
        <v>24</v>
      </c>
      <c r="H76" s="57">
        <f>2*choix_brid*nb_ligne</f>
        <v>8</v>
      </c>
      <c r="I76" s="57">
        <f>2*choix_brid*nb_ligne</f>
        <v>8</v>
      </c>
    </row>
    <row r="77" spans="2:9" x14ac:dyDescent="0.3">
      <c r="B77" s="23" t="s">
        <v>106</v>
      </c>
      <c r="C77" s="22">
        <f t="shared" si="0"/>
        <v>20</v>
      </c>
      <c r="D77" s="57">
        <f>choix_brid*nb_ligne*(nb_colonne-1)</f>
        <v>20</v>
      </c>
      <c r="E77" s="57">
        <f>choix_brid*nb_ligne*(nb_colonne-1)</f>
        <v>20</v>
      </c>
      <c r="F77" s="57">
        <f>choix_brid*nb_colonne*(nb_ligne-1)</f>
        <v>12</v>
      </c>
      <c r="G77" s="57">
        <f>choix_brid*nb_colonne*(nb_ligne-1)</f>
        <v>12</v>
      </c>
      <c r="H77" s="62">
        <f>choix_brid*nb_ligne*(nb_colonne-1)</f>
        <v>20</v>
      </c>
      <c r="I77" s="62">
        <f>choix_brid*nb_ligne*(nb_colonne-1)</f>
        <v>20</v>
      </c>
    </row>
    <row r="78" spans="2:9" x14ac:dyDescent="0.3">
      <c r="C78" s="20"/>
      <c r="D78" s="57"/>
      <c r="E78" s="57"/>
      <c r="F78" s="57"/>
      <c r="G78" s="57"/>
    </row>
    <row r="79" spans="2:9" x14ac:dyDescent="0.3">
      <c r="C79" t="s">
        <v>52</v>
      </c>
      <c r="D79" t="s">
        <v>52</v>
      </c>
      <c r="E79" t="s">
        <v>52</v>
      </c>
      <c r="F79" t="s">
        <v>52</v>
      </c>
    </row>
    <row r="80" spans="2:9" x14ac:dyDescent="0.3">
      <c r="B80" s="72" t="s">
        <v>84</v>
      </c>
      <c r="C80" s="115">
        <f>HLOOKUP(Choix_calep,Calcul_champs_PV,MATCH(B80,$B$51:$B$81,0),FALSE)</f>
        <v>7051.5999999999995</v>
      </c>
      <c r="D80" s="115">
        <f>IF(nb_colonne&gt;0,mod_larg*nb_colonne+2*déb_bri+(nb_colonne-1)*larg_bri_int,0)</f>
        <v>7004</v>
      </c>
      <c r="E80" s="115">
        <f>IF(nb_colonne&gt;0,mod_haut*nb_colonne+2*déb_bri+(nb_colonne-1)*larg_bri_int,0)</f>
        <v>10772</v>
      </c>
      <c r="F80" s="115">
        <f>IF(nb_colonne&gt;0,mod_haut*nb_colonne+(nb_colonne-1)*interligne,0)</f>
        <v>10697</v>
      </c>
      <c r="G80" s="115">
        <f>IF(nb_ligne&gt;0,mod_larg*nb_ligne+(nb_ligne-1)*interligne+2*déb_bri,0)</f>
        <v>2393</v>
      </c>
      <c r="H80" s="725">
        <f>ROUNDUP(IF(nb_colonne&gt;0,mod_larg*nb_colonne+2*déb_bri+(nb_colonne-1)*larg_bri_int-(Long_rail*1000-choix_nerv),0)/choix_nerv,0)*choix_nerv+(Long_rail*1000-choix_nerv)</f>
        <v>7051.5999999999995</v>
      </c>
      <c r="I80" s="725">
        <f>ROUNDUP(IF(nb_colonne&gt;0,mod_haut*nb_colonne+2*déb_bri+(nb_colonne-1)*larg_bri_int-(Long_rail*1000-choix_nerv),0)/choix_nerv,0)*choix_nerv+(Long_rail*1000-choix_nerv)</f>
        <v>11051.56</v>
      </c>
    </row>
    <row r="81" spans="1:9" ht="16.95" customHeight="1" x14ac:dyDescent="0.3">
      <c r="B81" t="s">
        <v>69</v>
      </c>
      <c r="C81" s="14">
        <f>MOD(long_utile,Entr_chev)/2</f>
        <v>225.79999999999973</v>
      </c>
      <c r="D81" s="14">
        <f>MOD(D80,Entr_chev)/2</f>
        <v>202</v>
      </c>
      <c r="E81" s="14">
        <f>MOD(E80,Entr_chev)/2</f>
        <v>286</v>
      </c>
      <c r="F81" s="14">
        <f>MOD(F80,Entr_chev)/2</f>
        <v>248.5</v>
      </c>
      <c r="G81" s="14">
        <f>MOD(G80,Entr_chev)/2</f>
        <v>296.5</v>
      </c>
      <c r="H81" s="726"/>
      <c r="I81" s="727"/>
    </row>
    <row r="82" spans="1:9" ht="16.95" customHeight="1" x14ac:dyDescent="0.3">
      <c r="B82" t="s">
        <v>533</v>
      </c>
      <c r="C82" s="727"/>
      <c r="D82" s="727"/>
      <c r="E82" s="727"/>
      <c r="F82" s="727"/>
      <c r="G82" s="727"/>
      <c r="H82" s="726">
        <f>choix_nerv-(Long_rail*1000-choix_nerv)</f>
        <v>281.65999999999997</v>
      </c>
      <c r="I82" s="727"/>
    </row>
    <row r="83" spans="1:9" ht="16.95" customHeight="1" x14ac:dyDescent="0.3">
      <c r="B83" t="s">
        <v>534</v>
      </c>
      <c r="C83" s="727"/>
      <c r="D83" s="727"/>
      <c r="E83" s="727"/>
      <c r="F83" s="727"/>
      <c r="G83" s="727"/>
      <c r="H83" s="726">
        <v>0</v>
      </c>
      <c r="I83" s="727"/>
    </row>
    <row r="84" spans="1:9" x14ac:dyDescent="0.3">
      <c r="B84" t="s">
        <v>58</v>
      </c>
      <c r="C84" s="14">
        <f>IF(PaF_utile&gt;PaF_max,_xlfn.CEILING.MATH(long_utile,Entr_chev)+2*deb_croch,long_utile)</f>
        <v>7051.5999999999995</v>
      </c>
      <c r="D84" s="14">
        <f>IF(D$81&gt;PaF_max,_xlfn.CEILING.MATH(D$80,Entr_chev)+2*deb_croch,D$80)</f>
        <v>7004</v>
      </c>
      <c r="E84" s="14">
        <f>IF(E81&gt;PaF_max,_xlfn.CEILING.MATH(E80,Entr_chev)+2*deb_croch,E80)</f>
        <v>10772</v>
      </c>
      <c r="F84" s="14">
        <f>IF(F81&gt;PaF_max,_xlfn.CEILING.MATH(F80,Entr_chev)+2*deb_croch,F80)</f>
        <v>10697</v>
      </c>
      <c r="G84" s="14">
        <f>IF(G81&gt;PaF_max,_xlfn.CEILING.MATH(G80,Entr_chev)+2*deb_croch,G80)</f>
        <v>2393</v>
      </c>
      <c r="H84" s="601">
        <f>H80+(H83*choix_nerv)</f>
        <v>7051.5999999999995</v>
      </c>
      <c r="I84" s="601">
        <f>IF(I81&gt;PaF_max,_xlfn.CEILING.MATH(I80,Entr_chev)+2*deb_croch,I80)</f>
        <v>11051.56</v>
      </c>
    </row>
    <row r="85" spans="1:9" x14ac:dyDescent="0.3">
      <c r="C85" s="14"/>
      <c r="D85" s="14">
        <f>IF(D$81&gt;PaF_max,ROUND(D$80,Entr_chev)+2*deb_croch,D$80)</f>
        <v>7004</v>
      </c>
      <c r="E85" s="14"/>
      <c r="F85" s="14"/>
      <c r="G85" s="14"/>
      <c r="H85" s="14"/>
      <c r="I85" s="14"/>
    </row>
    <row r="87" spans="1:9" x14ac:dyDescent="0.3">
      <c r="C87" t="s">
        <v>310</v>
      </c>
      <c r="D87" t="s">
        <v>311</v>
      </c>
    </row>
    <row r="88" spans="1:9" x14ac:dyDescent="0.3">
      <c r="A88">
        <v>0</v>
      </c>
      <c r="C88" s="155">
        <v>1</v>
      </c>
      <c r="D88" s="128">
        <v>2</v>
      </c>
      <c r="E88" s="128">
        <v>3</v>
      </c>
      <c r="F88" s="128">
        <v>4</v>
      </c>
      <c r="G88" s="128">
        <v>5</v>
      </c>
      <c r="H88" s="166">
        <v>6</v>
      </c>
      <c r="I88" s="2">
        <f>choix_impl</f>
        <v>1</v>
      </c>
    </row>
    <row r="89" spans="1:9" x14ac:dyDescent="0.3">
      <c r="A89">
        <f>IF(I89="oui",LARGE($A$88:$A88,1)+1,"")</f>
        <v>1</v>
      </c>
      <c r="B89" s="155" t="str">
        <f>'EC1 - CC'!$C12</f>
        <v>Centre</v>
      </c>
      <c r="C89" s="110" t="str">
        <f t="shared" ref="C89:H89" si="1">OK</f>
        <v>OUI</v>
      </c>
      <c r="D89" s="112" t="str">
        <f t="shared" si="1"/>
        <v>OUI</v>
      </c>
      <c r="E89" s="112" t="str">
        <f t="shared" si="1"/>
        <v>OUI</v>
      </c>
      <c r="F89" s="112" t="str">
        <f t="shared" si="1"/>
        <v>OUI</v>
      </c>
      <c r="G89" s="112" t="str">
        <f t="shared" si="1"/>
        <v>OUI</v>
      </c>
      <c r="H89" s="113" t="str">
        <f t="shared" si="1"/>
        <v>OUI</v>
      </c>
      <c r="I89" s="304" t="str">
        <f t="shared" ref="I89:I94" si="2">HLOOKUP($I$88,Zone_toit_exclusion,ROW()-ROW($I$87),FALSE)</f>
        <v>OUI</v>
      </c>
    </row>
    <row r="90" spans="1:9" x14ac:dyDescent="0.3">
      <c r="A90" t="str">
        <f>IF(I90="oui",LARGE($A$88:$A89,1)+1,"")</f>
        <v/>
      </c>
      <c r="B90" s="283" t="str">
        <f>'EC1 - CC'!$C13</f>
        <v>Rive</v>
      </c>
      <c r="C90" s="283" t="str">
        <f>IF(Larg_Champs_PV&gt;Dim_centre_long*1000,OK,NOK)</f>
        <v>NON</v>
      </c>
      <c r="D90" t="str">
        <f>IF(Larg_Champs_PV&gt;Dim_centre_long*1000,OK,NOK)</f>
        <v>NON</v>
      </c>
      <c r="E90" t="str">
        <f>IF(Larg_Champs_PV&gt;Dim_centre_long*1000,OK,NOK)</f>
        <v>NON</v>
      </c>
      <c r="F90" s="55" t="str">
        <f>OK</f>
        <v>OUI</v>
      </c>
      <c r="G90" t="str">
        <f>IF(Haut_Champs_PV&gt;toit_dim90_e4_proj*1000,OK,NOK)</f>
        <v>OUI</v>
      </c>
      <c r="H90" s="167" t="str">
        <f>IF(Haut_Champs_PV&gt;toit_dim90_e4_proj*1000,OK,NOK)</f>
        <v>OUI</v>
      </c>
      <c r="I90" s="305" t="str">
        <f t="shared" si="2"/>
        <v>NON</v>
      </c>
    </row>
    <row r="91" spans="1:9" x14ac:dyDescent="0.3">
      <c r="A91">
        <f>IF(I91="oui",LARGE($A$88:$A90,1)+1,"")</f>
        <v>2</v>
      </c>
      <c r="B91" s="283" t="str">
        <f>'EC1 - CC'!$C14</f>
        <v>Egout</v>
      </c>
      <c r="C91" s="283" t="str">
        <f>IF(Haut_Champs_PV&gt;Dim_centre_haut_MP*1000,OK,NOK)</f>
        <v>OUI</v>
      </c>
      <c r="D91" s="55" t="str">
        <f>OK</f>
        <v>OUI</v>
      </c>
      <c r="E91" t="str">
        <f>IF(Haut_Champs_PV&gt;(Dim_centre_haut_MP+toit_dim0_e10_proj)*1000,OK,NOK)</f>
        <v>NON</v>
      </c>
      <c r="F91" t="str">
        <f>IF(AND(Haut_Champs_PV&gt;Dim_centre_haut_MP*1000,Larg_Champs_PV&gt;toit_dim0_e4_proj*1000),OK,NOK)</f>
        <v>OUI</v>
      </c>
      <c r="G91" t="str">
        <f>IF(AND(Haut_Champs_PV&gt;(toit_ramp-toit_dim0_e10_proj)*1000,Larg_Champs_PV&gt;toit_dim0_e4_proj*1000),OK,NOK)</f>
        <v>NON</v>
      </c>
      <c r="H91" s="167" t="str">
        <f>IF(Larg_Champs_PV&gt;toit_dim0_e4_proj*1000,OK,NOK)</f>
        <v>OUI</v>
      </c>
      <c r="I91" s="305" t="str">
        <f t="shared" si="2"/>
        <v>OUI</v>
      </c>
    </row>
    <row r="92" spans="1:9" x14ac:dyDescent="0.3">
      <c r="A92">
        <f>IF(I92="oui",LARGE($A$88:$A91,1)+1,"")</f>
        <v>3</v>
      </c>
      <c r="B92" s="283" t="str">
        <f>'EC1 - CC'!$C15</f>
        <v>Faitage</v>
      </c>
      <c r="C92" s="283" t="str">
        <f>IF(Haut_Champs_PV&gt;Dim_centre_haut_MP*1000,OK,NOK)</f>
        <v>OUI</v>
      </c>
      <c r="D92" t="str">
        <f>IF(Haut_Champs_PV&gt;(Dim_centre_haut_MP+toit_dim0_e10_proj)*1000,OK,NOK)</f>
        <v>NON</v>
      </c>
      <c r="E92" s="55" t="str">
        <f>OK</f>
        <v>OUI</v>
      </c>
      <c r="F92" t="str">
        <f>IF(Haut_Champs_PV&gt;Dim_centre_haut_MP*1000,OK,NOK)</f>
        <v>OUI</v>
      </c>
      <c r="G92" t="str">
        <f>IF(Larg_Champs_PV&gt;toit_dim0_e4_proj*1000,OK,NOK)</f>
        <v>OUI</v>
      </c>
      <c r="H92" s="167" t="str">
        <f>IF(AND(Haut_Champs_PV&gt;(toit_ramp-toit_dim0_e10_proj)*1000,Larg_Champs_PV&gt;toit_dim0_e4_proj*1000),OK,NOK)</f>
        <v>NON</v>
      </c>
      <c r="I92" s="305" t="str">
        <f t="shared" si="2"/>
        <v>OUI</v>
      </c>
    </row>
    <row r="93" spans="1:9" x14ac:dyDescent="0.3">
      <c r="A93" t="str">
        <f>IF(I93="oui",LARGE($A$88:$A92,1)+1,"")</f>
        <v/>
      </c>
      <c r="B93" s="283" t="str">
        <f>'EC1 - CC'!$C16</f>
        <v>Angle inf.</v>
      </c>
      <c r="C93" s="283" t="str">
        <f>IF(OR(AND(Haut_Champs_PV&gt;Dim_centre_haut_MP*1000,Larg_Champs_PV&gt;dim_egout_long*1000),AND(Larg_Champs_PV&gt;Dim_centre_long*1000,Haut_Champs_PV&gt;Dim_rive_haut_MP*1000)),OK,NOK)</f>
        <v>NON</v>
      </c>
      <c r="D93" t="str">
        <f>IF(Larg_Champs_PV&gt;dim_egout_long*1000,OK,NOK)</f>
        <v>NON</v>
      </c>
      <c r="E93" t="str">
        <f>IF(OR(AND(Haut_Champs_PV&gt;(Dim_centre_haut_MP+toit_dim0_e10_proj)*1000,Larg_Champs_PV&gt;dim_egout_long*1000),AND(Larg_Champs_PV&gt;Dim_centre_long*1000,Haut_Champs_PV&gt;(toit_ramp-toit_dim90_e4_proj)*1000)),OK,NOK)</f>
        <v>NON</v>
      </c>
      <c r="F93" t="str">
        <f>IF(Haut_Champs_PV&gt;(toit_ramp-2*toit_dim90_e4_proj)*1000,OK,NOK)</f>
        <v>OUI</v>
      </c>
      <c r="G93" t="str">
        <f>IF(Haut_Champs_PV&gt;(toit_ramp-toit_dim90_e4_proj)*1000,OK,NOK)</f>
        <v>OUI</v>
      </c>
      <c r="H93" s="116" t="str">
        <f>OK</f>
        <v>OUI</v>
      </c>
      <c r="I93" s="305" t="str">
        <f t="shared" si="2"/>
        <v>NON</v>
      </c>
    </row>
    <row r="94" spans="1:9" x14ac:dyDescent="0.3">
      <c r="A94" t="str">
        <f>IF(I94="oui",LARGE($A$88:$A93,1)+1,"")</f>
        <v/>
      </c>
      <c r="B94" s="302" t="str">
        <f>'EC1 - CC'!$C17</f>
        <v>Angles Sup.</v>
      </c>
      <c r="C94" s="302" t="str">
        <f>IF(OR(AND(Haut_Champs_PV&gt;Dim_centre_haut_MP*1000,Larg_Champs_PV&gt;dim_egout_long*1000),AND(Larg_Champs_PV&gt;Dim_centre_long*1000,Haut_Champs_PV&gt;Dim_rive_haut_MP*1000)),OK,NOK)</f>
        <v>NON</v>
      </c>
      <c r="D94" s="99" t="str">
        <f>IF(OR(AND(Haut_Champs_PV&gt;(Dim_centre_haut_MP+toit_dim0_e10_proj)*1000,Larg_Champs_PV&gt;dim_egout_long*1000),AND(Larg_Champs_PV&gt;Dim_centre_long*1000,Haut_Champs_PV&gt;(toit_ramp-toit_dim90_e4_proj)*1000)),OK,NOK)</f>
        <v>NON</v>
      </c>
      <c r="E94" s="99" t="str">
        <f>IF(Larg_Champs_PV&gt;dim_egout_long*1000,OK,NOK)</f>
        <v>NON</v>
      </c>
      <c r="F94" t="str">
        <f>IF(Haut_Champs_PV&gt;(toit_ramp-2*toit_dim90_e4_proj)*1000,OK,NOK)</f>
        <v>OUI</v>
      </c>
      <c r="G94" s="118" t="str">
        <f>OK</f>
        <v>OUI</v>
      </c>
      <c r="H94" s="303" t="str">
        <f>IF(Haut_Champs_PV&gt;(toit_ramp-toit_dim90_e4_proj)*1000,OK,NOK)</f>
        <v>OUI</v>
      </c>
      <c r="I94" s="306" t="str">
        <f t="shared" si="2"/>
        <v>NON</v>
      </c>
    </row>
    <row r="95" spans="1:9" x14ac:dyDescent="0.3">
      <c r="A95">
        <v>0</v>
      </c>
      <c r="B95" s="307"/>
      <c r="C95" s="307"/>
      <c r="D95" s="308"/>
      <c r="E95" s="308"/>
      <c r="F95" s="308"/>
      <c r="G95" s="308"/>
      <c r="H95" s="309"/>
      <c r="I95" s="310"/>
    </row>
    <row r="96" spans="1:9" x14ac:dyDescent="0.3">
      <c r="A96">
        <f>IF(I96="oui",LARGE($A$95:$A95,1)+1,"")</f>
        <v>1</v>
      </c>
      <c r="B96" s="283" t="str">
        <f>'EC1 - CC'!$C18</f>
        <v>Centre</v>
      </c>
      <c r="C96" s="114" t="str">
        <f t="shared" ref="C96:H96" si="3">OK</f>
        <v>OUI</v>
      </c>
      <c r="D96" s="55" t="str">
        <f t="shared" si="3"/>
        <v>OUI</v>
      </c>
      <c r="E96" s="55" t="str">
        <f t="shared" si="3"/>
        <v>OUI</v>
      </c>
      <c r="F96" s="55" t="str">
        <f t="shared" si="3"/>
        <v>OUI</v>
      </c>
      <c r="G96" s="55" t="str">
        <f t="shared" si="3"/>
        <v>OUI</v>
      </c>
      <c r="H96" s="116" t="str">
        <f t="shared" si="3"/>
        <v>OUI</v>
      </c>
      <c r="I96" s="305" t="str">
        <f>HLOOKUP($I$88,Zone_toit_exclusion,ROW()-ROW($I$87),FALSE)</f>
        <v>OUI</v>
      </c>
    </row>
    <row r="97" spans="1:9" x14ac:dyDescent="0.3">
      <c r="A97" t="str">
        <f>IF(I97="oui",LARGE($A$95:$A96,1)+1,"")</f>
        <v/>
      </c>
      <c r="B97" s="283" t="str">
        <f>'EC1 - CC'!$C19</f>
        <v>Rive</v>
      </c>
      <c r="C97" s="283" t="str">
        <f>IF(Larg_Champs_PV&gt;Dim_centre_long*1000,OK,NOK)</f>
        <v>NON</v>
      </c>
      <c r="D97" t="str">
        <f>IF(Larg_Champs_PV&gt;Dim_centre_long*1000,OK,NOK)</f>
        <v>NON</v>
      </c>
      <c r="E97" t="str">
        <f>IF(Larg_Champs_PV&gt;Dim_centre_long*1000,OK,NOK)</f>
        <v>NON</v>
      </c>
      <c r="F97" s="55" t="str">
        <f>OK</f>
        <v>OUI</v>
      </c>
      <c r="G97" s="55" t="str">
        <f>OK</f>
        <v>OUI</v>
      </c>
      <c r="H97" s="167" t="str">
        <f>IF(Haut_Champs_PV&gt;toit_dim90_e4_proj*1000,OK,NOK)</f>
        <v>OUI</v>
      </c>
      <c r="I97" s="305" t="str">
        <f>HLOOKUP($I$88,Zone_toit_exclusion,ROW()-ROW($I$87),FALSE)</f>
        <v>NON</v>
      </c>
    </row>
    <row r="98" spans="1:9" x14ac:dyDescent="0.3">
      <c r="A98">
        <f>IF(I98="oui",LARGE($A$95:$A97,1)+1,"")</f>
        <v>2</v>
      </c>
      <c r="B98" s="283" t="str">
        <f>'EC1 - CC'!$C20</f>
        <v>Egout</v>
      </c>
      <c r="C98" s="283" t="str">
        <f>IF(Haut_Champs_PV&gt;(Dim_centre_haut_BP*1000),OK,NOK)</f>
        <v>OUI</v>
      </c>
      <c r="D98" s="55" t="str">
        <f>OK</f>
        <v>OUI</v>
      </c>
      <c r="E98" t="str">
        <f>IF(Haut_Champs_PV&gt;(Dim_centre_haut_BP+toit_dim0_e10_proj)*1000,OK,NOK)</f>
        <v>NON</v>
      </c>
      <c r="F98" t="str">
        <f>IF(AND(Haut_Champs_PV&gt;(Dim_centre_haut_BP*1000),Larg_Champs_PV&gt;toit_dim0_e4_proj*1000),OK,NOK)</f>
        <v>OUI</v>
      </c>
      <c r="G98" t="str">
        <f>IF(AND(Haut_Champs_PV&gt;(Dim_centre_haut_BP+toit_dim0_e10_proj)*1000,Larg_Champs_PV&gt;toit_dim0_e4_proj*1000),OK,NOK)</f>
        <v>NON</v>
      </c>
      <c r="H98" s="167" t="str">
        <f>IF(Larg_Champs_PV&gt;toit_dim0_e4_proj*1000,OK,NOK)</f>
        <v>OUI</v>
      </c>
      <c r="I98" s="305" t="str">
        <f>HLOOKUP($I$88,Zone_toit_exclusion,ROW()-ROW($I$87),FALSE)</f>
        <v>OUI</v>
      </c>
    </row>
    <row r="99" spans="1:9" x14ac:dyDescent="0.3">
      <c r="A99">
        <f>IF(I99="oui",LARGE($A$95:$A98,1)+1,"")</f>
        <v>3</v>
      </c>
      <c r="B99" s="283" t="str">
        <f>'EC1 - CC'!$C21</f>
        <v>Faitage</v>
      </c>
      <c r="C99" s="283" t="str">
        <f>IF(Haut_Champs_PV&gt;(Dim_centre_haut_BP*1000),OK,NOK)</f>
        <v>OUI</v>
      </c>
      <c r="D99" t="str">
        <f>IF(Haut_Champs_PV&gt;(Dim_centre_haut_BP+toit_dim0_e10_proj)*1000,OK,NOK)</f>
        <v>NON</v>
      </c>
      <c r="E99" s="55" t="str">
        <f>OK</f>
        <v>OUI</v>
      </c>
      <c r="F99" t="str">
        <f>IF(AND(Haut_Champs_PV&gt;(Dim_centre_haut_BP*1000),Larg_Champs_PV&gt;toit_dim90_e10_proj*1000),OK,NOK)</f>
        <v>OUI</v>
      </c>
      <c r="G99" t="str">
        <f>IF(Larg_Champs_PV&gt;toit_dim90_e10_proj*1000,OK,NOK)</f>
        <v>OUI</v>
      </c>
      <c r="H99" s="167" t="str">
        <f>IF(AND(Haut_Champs_PV&gt;(toit_ramp-toit_dim0_e10_proj)*1000,Larg_Champs_PV&gt;toit_dim90_e10_proj*1000),OK,NOK)</f>
        <v>NON</v>
      </c>
      <c r="I99" s="305" t="str">
        <f>HLOOKUP($I$88,Zone_toit_exclusion,ROW()-ROW($I$87),FALSE)</f>
        <v>OUI</v>
      </c>
    </row>
    <row r="100" spans="1:9" x14ac:dyDescent="0.3">
      <c r="A100" t="str">
        <f>IF(I100="oui",LARGE($A$95:$A99,1)+1,"")</f>
        <v/>
      </c>
      <c r="B100" s="302" t="str">
        <f>'EC1 - CC'!$C22</f>
        <v>Angle inf.</v>
      </c>
      <c r="C100" s="302" t="str">
        <f>IF(OR(AND(Haut_Champs_PV&gt;(Dim_centre_haut_BP*1000),Larg_Champs_PV&gt;dim_egout_long*1000),AND(Larg_Champs_PV&gt;Dim_centre_long*1000,Haut_Champs_PV&gt;(toit_ramp-2*toit_dim90_e4_proj)*1000)),OK,NOK)</f>
        <v>NON</v>
      </c>
      <c r="D100" s="99" t="str">
        <f>IF(Larg_Champs_PV&gt;dim_egout_long*1000,OK,NOK)</f>
        <v>NON</v>
      </c>
      <c r="E100" s="99" t="str">
        <f>IF(OR(AND(Haut_Champs_PV&gt;(Dim_centre_haut_BP+toit_dim0_e10_proj)*1000,Larg_Champs_PV&gt;dim_egout_long*1000),AND(Larg_Champs_PV&gt;Dim_centre_long*1000,Haut_Champs_PV&gt;(toit_ramp-toit_dim90_e4_proj)*1000)),OK,NOK)</f>
        <v>NON</v>
      </c>
      <c r="F100" s="99" t="str">
        <f>IF(Haut_Champs_PV&gt;(toit_ramp-2*toit_dim90_e4_proj)*1000,OK,NOK)</f>
        <v>OUI</v>
      </c>
      <c r="G100" s="99" t="str">
        <f>IF(Haut_Champs_PV&gt;(toit_ramp-toit_dim90_e4_proj)*1000,OK,NOK)</f>
        <v>OUI</v>
      </c>
      <c r="H100" s="119" t="s">
        <v>310</v>
      </c>
      <c r="I100" s="306" t="str">
        <f>HLOOKUP($I$88,Zone_toit_exclusion,ROW()-ROW($I$87),FALSE)</f>
        <v>NON</v>
      </c>
    </row>
    <row r="103" spans="1:9" ht="25.95" customHeight="1" x14ac:dyDescent="0.3">
      <c r="B103" t="e" vm="3">
        <v>#VALUE!</v>
      </c>
    </row>
    <row r="104" spans="1:9" ht="25.95" customHeight="1" x14ac:dyDescent="0.3">
      <c r="B104" t="e" vm="12">
        <v>#VALUE!</v>
      </c>
    </row>
    <row r="105" spans="1:9" ht="25.95" customHeight="1" x14ac:dyDescent="0.3"/>
  </sheetData>
  <sheetProtection selectLockedCells="1"/>
  <mergeCells count="14">
    <mergeCell ref="C17:D17"/>
    <mergeCell ref="E17:F17"/>
    <mergeCell ref="U2:X12"/>
    <mergeCell ref="U13:X23"/>
    <mergeCell ref="O4:O5"/>
    <mergeCell ref="O14:O15"/>
    <mergeCell ref="V46:W49"/>
    <mergeCell ref="V42:W45"/>
    <mergeCell ref="V38:W41"/>
    <mergeCell ref="O31:O32"/>
    <mergeCell ref="O21:O22"/>
    <mergeCell ref="V24:W27"/>
    <mergeCell ref="V32:W37"/>
    <mergeCell ref="V28:W31"/>
  </mergeCells>
  <conditionalFormatting sqref="C81:E83 G81:G83 F81:F84">
    <cfRule type="cellIs" dxfId="4" priority="2" operator="greaterThan">
      <formula>PaF_max</formula>
    </cfRule>
  </conditionalFormatting>
  <pageMargins left="0.7" right="0.7" top="0.75" bottom="0.75" header="0.3" footer="0.3"/>
  <pageSetup paperSize="9" orientation="portrait" horizontalDpi="4294967293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6C2D48-C70D-45A9-AB09-2370CA898264}">
            <xm:f>'Configurateur ISY-PV'!$D$16</xm:f>
            <x14:dxf>
              <font>
                <b/>
                <i val="0"/>
                <strike val="0"/>
              </font>
              <fill>
                <patternFill>
                  <bgColor rgb="FF92D050"/>
                </patternFill>
              </fill>
            </x14:dxf>
          </x14:cfRule>
          <xm:sqref>C14:D14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DB48-70B6-44E2-ACAD-786314DECFE6}">
  <sheetPr codeName="Sheet2"/>
  <dimension ref="A1:T44"/>
  <sheetViews>
    <sheetView zoomScale="85" zoomScaleNormal="85" workbookViewId="0">
      <pane xSplit="9" ySplit="2" topLeftCell="L20" activePane="bottomRight" state="frozen"/>
      <selection activeCell="F69" sqref="F69"/>
      <selection pane="topRight" activeCell="F69" sqref="F69"/>
      <selection pane="bottomLeft" activeCell="F69" sqref="F69"/>
      <selection pane="bottomRight" activeCell="S26" sqref="S26"/>
    </sheetView>
  </sheetViews>
  <sheetFormatPr baseColWidth="10" defaultColWidth="11.5546875" defaultRowHeight="14.4" x14ac:dyDescent="0.3"/>
  <cols>
    <col min="4" max="4" width="11.5546875" style="14"/>
    <col min="6" max="6" width="15" bestFit="1" customWidth="1"/>
    <col min="7" max="8" width="11.5546875" style="23"/>
    <col min="9" max="9" width="43.5546875" bestFit="1" customWidth="1"/>
    <col min="10" max="10" width="15.6640625" bestFit="1" customWidth="1"/>
    <col min="11" max="11" width="11.33203125" bestFit="1" customWidth="1"/>
    <col min="12" max="12" width="14.88671875" bestFit="1" customWidth="1"/>
    <col min="13" max="13" width="11.88671875" customWidth="1"/>
    <col min="14" max="14" width="10.6640625" bestFit="1" customWidth="1"/>
    <col min="15" max="15" width="10.6640625" customWidth="1"/>
    <col min="16" max="16" width="12.109375" bestFit="1" customWidth="1"/>
  </cols>
  <sheetData>
    <row r="1" spans="1:20" ht="18" x14ac:dyDescent="0.35">
      <c r="B1" s="43" t="s">
        <v>11</v>
      </c>
      <c r="C1" s="43"/>
      <c r="D1" s="91"/>
      <c r="E1" s="43"/>
      <c r="F1" s="43"/>
      <c r="K1" s="18" t="str">
        <f>'Config type'!C2</f>
        <v>Tuile faible galbe / aspect plat</v>
      </c>
      <c r="L1" s="103" t="str">
        <f>'Config type'!D2</f>
        <v>Tuile fort galbe</v>
      </c>
      <c r="M1" s="103" t="str">
        <f>'Config type'!E2</f>
        <v>Ardoise</v>
      </c>
      <c r="N1" s="103" t="str">
        <f>'Config type'!F2</f>
        <v>Tuile plate</v>
      </c>
      <c r="O1" s="103" t="str">
        <f>'Config type'!G2</f>
        <v>Fibrociment</v>
      </c>
      <c r="P1" s="106" t="str">
        <f>'Config type'!H2</f>
        <v>Bac trapézoïdale</v>
      </c>
      <c r="S1" t="s">
        <v>159</v>
      </c>
    </row>
    <row r="2" spans="1:20" ht="15.6" customHeight="1" x14ac:dyDescent="0.3">
      <c r="A2">
        <v>0</v>
      </c>
      <c r="C2" s="110" t="s">
        <v>89</v>
      </c>
      <c r="D2" s="111" t="s">
        <v>91</v>
      </c>
      <c r="E2" s="112" t="s">
        <v>93</v>
      </c>
      <c r="F2" s="113" t="s">
        <v>90</v>
      </c>
      <c r="G2" s="102" t="s">
        <v>12</v>
      </c>
      <c r="H2" s="45"/>
      <c r="I2" s="103" t="s">
        <v>10</v>
      </c>
      <c r="J2" s="103"/>
      <c r="K2" s="107"/>
      <c r="L2" s="104"/>
      <c r="M2" s="104"/>
      <c r="N2" s="104"/>
      <c r="O2" s="105"/>
      <c r="P2" s="105"/>
      <c r="Q2" s="155" t="s">
        <v>99</v>
      </c>
      <c r="R2" s="106" t="s">
        <v>13</v>
      </c>
      <c r="S2" t="s">
        <v>160</v>
      </c>
      <c r="T2" t="s">
        <v>161</v>
      </c>
    </row>
    <row r="3" spans="1:20" ht="46.2" customHeight="1" x14ac:dyDescent="0.3">
      <c r="A3" s="95" t="str">
        <f>IF(HLOOKUP(choix_couv,$K$1:$P$39,ROW(),FALSE)="x",LARGE($A$2:$A2,1)+1,"")</f>
        <v/>
      </c>
      <c r="B3" s="762" t="s">
        <v>100</v>
      </c>
      <c r="C3" s="171" t="s">
        <v>68</v>
      </c>
      <c r="D3" s="115">
        <f>Données!C5</f>
        <v>1.2</v>
      </c>
      <c r="E3" s="47" t="str">
        <f>Données!$D$4</f>
        <v>Alu</v>
      </c>
      <c r="F3" s="173" t="str">
        <f t="shared" ref="F3:F9" si="0">_xlfn.CONCAT(C3:E3)</f>
        <v>Rail1,2Alu</v>
      </c>
      <c r="G3" s="174"/>
      <c r="H3" s="140"/>
      <c r="I3" s="48" t="s">
        <v>423</v>
      </c>
      <c r="J3">
        <f t="shared" ref="J3:J10" si="1">IF(Comp_calep=TRUE,Nb_rail+Nb_Rail_crois,)</f>
        <v>28</v>
      </c>
      <c r="K3" s="108" t="str">
        <f t="shared" ref="K3:P5" si="2">IF($F3=$E$41,"x","")</f>
        <v/>
      </c>
      <c r="L3" s="95" t="str">
        <f t="shared" si="2"/>
        <v/>
      </c>
      <c r="M3" s="95" t="str">
        <f t="shared" si="2"/>
        <v/>
      </c>
      <c r="N3" s="95" t="str">
        <f t="shared" si="2"/>
        <v/>
      </c>
      <c r="O3" s="96" t="str">
        <f t="shared" si="2"/>
        <v/>
      </c>
      <c r="P3" s="96" t="str">
        <f t="shared" si="2"/>
        <v/>
      </c>
      <c r="Q3" s="156"/>
      <c r="R3" s="157">
        <v>15</v>
      </c>
      <c r="S3">
        <v>2232.5</v>
      </c>
      <c r="T3">
        <v>2232.5</v>
      </c>
    </row>
    <row r="4" spans="1:20" ht="46.2" customHeight="1" x14ac:dyDescent="0.3">
      <c r="A4" s="95" t="str">
        <f>IF(HLOOKUP(choix_couv,$K$1:$P$39,ROW(),FALSE)="x",LARGE($A$2:$A3,1)+1,"")</f>
        <v/>
      </c>
      <c r="B4" s="763"/>
      <c r="C4" s="171" t="s">
        <v>68</v>
      </c>
      <c r="D4" s="115">
        <f>Données!D5</f>
        <v>2.4</v>
      </c>
      <c r="E4" s="47" t="str">
        <f>Données!$D$4</f>
        <v>Alu</v>
      </c>
      <c r="F4" s="173" t="str">
        <f t="shared" si="0"/>
        <v>Rail2,4Alu</v>
      </c>
      <c r="G4" s="174" t="s">
        <v>118</v>
      </c>
      <c r="H4" s="140"/>
      <c r="I4" s="48" t="s">
        <v>424</v>
      </c>
      <c r="J4">
        <f t="shared" si="1"/>
        <v>28</v>
      </c>
      <c r="K4" s="108" t="str">
        <f t="shared" si="2"/>
        <v/>
      </c>
      <c r="L4" s="95" t="str">
        <f t="shared" si="2"/>
        <v/>
      </c>
      <c r="M4" s="95" t="str">
        <f t="shared" si="2"/>
        <v/>
      </c>
      <c r="N4" s="95" t="str">
        <f t="shared" si="2"/>
        <v/>
      </c>
      <c r="O4" s="96" t="str">
        <f t="shared" si="2"/>
        <v/>
      </c>
      <c r="P4" s="96" t="str">
        <f t="shared" si="2"/>
        <v/>
      </c>
      <c r="Q4" s="158"/>
      <c r="R4" s="150">
        <v>15</v>
      </c>
      <c r="S4">
        <v>2232.5</v>
      </c>
      <c r="T4">
        <v>2232.5</v>
      </c>
    </row>
    <row r="5" spans="1:20" ht="46.2" customHeight="1" x14ac:dyDescent="0.3">
      <c r="A5" s="95" t="str">
        <f>IF(HLOOKUP(choix_couv,$K$1:$P$39,ROW(),FALSE)="x",LARGE($A$2:$A4,1)+1,"")</f>
        <v/>
      </c>
      <c r="B5" s="763"/>
      <c r="C5" s="171" t="s">
        <v>68</v>
      </c>
      <c r="D5" s="115">
        <f>Données!E5</f>
        <v>3.6</v>
      </c>
      <c r="E5" s="47" t="str">
        <f>Données!$D$4</f>
        <v>Alu</v>
      </c>
      <c r="F5" s="173" t="str">
        <f t="shared" si="0"/>
        <v>Rail3,6Alu</v>
      </c>
      <c r="G5" s="174"/>
      <c r="H5" s="140"/>
      <c r="I5" s="48" t="s">
        <v>450</v>
      </c>
      <c r="J5">
        <f t="shared" si="1"/>
        <v>28</v>
      </c>
      <c r="K5" s="108" t="str">
        <f t="shared" si="2"/>
        <v/>
      </c>
      <c r="L5" s="95" t="str">
        <f t="shared" si="2"/>
        <v/>
      </c>
      <c r="M5" s="95" t="str">
        <f t="shared" si="2"/>
        <v/>
      </c>
      <c r="N5" s="95" t="str">
        <f t="shared" si="2"/>
        <v/>
      </c>
      <c r="O5" s="96" t="str">
        <f t="shared" si="2"/>
        <v/>
      </c>
      <c r="P5" s="96" t="str">
        <f t="shared" si="2"/>
        <v/>
      </c>
      <c r="Q5" s="158"/>
      <c r="R5" s="150">
        <v>15</v>
      </c>
      <c r="S5">
        <v>2232.5</v>
      </c>
      <c r="T5">
        <v>2232.5</v>
      </c>
    </row>
    <row r="6" spans="1:20" ht="46.2" customHeight="1" x14ac:dyDescent="0.3">
      <c r="A6" s="95" t="str">
        <f>IF(HLOOKUP(choix_couv,$K$1:$P$39,ROW(),FALSE)="x",LARGE($A$2:$A5,1)+1,"")</f>
        <v/>
      </c>
      <c r="B6" s="763"/>
      <c r="C6" s="171" t="s">
        <v>68</v>
      </c>
      <c r="D6" s="115">
        <f>Données!F5</f>
        <v>4.8</v>
      </c>
      <c r="E6" s="47" t="str">
        <f>Données!$D$4</f>
        <v>Alu</v>
      </c>
      <c r="F6" s="173" t="str">
        <f t="shared" ref="F6" si="3">_xlfn.CONCAT(C6:E6)</f>
        <v>Rail4,8Alu</v>
      </c>
      <c r="G6" s="174"/>
      <c r="H6" s="140"/>
      <c r="I6" s="48"/>
      <c r="K6" s="108"/>
      <c r="L6" s="95"/>
      <c r="M6" s="95"/>
      <c r="N6" s="95"/>
      <c r="O6" s="96"/>
      <c r="P6" s="96"/>
      <c r="Q6" s="158"/>
      <c r="R6" s="150"/>
    </row>
    <row r="7" spans="1:20" ht="44.4" customHeight="1" x14ac:dyDescent="0.3">
      <c r="A7" s="95" t="str">
        <f>IF(HLOOKUP(choix_couv,$K$1:$P$39,ROW(),FALSE)="x",LARGE($A$2:$A5,1)+1,"")</f>
        <v/>
      </c>
      <c r="B7" s="763"/>
      <c r="C7" s="171" t="s">
        <v>68</v>
      </c>
      <c r="D7" s="115">
        <f>Données!C5</f>
        <v>1.2</v>
      </c>
      <c r="E7" s="47" t="str">
        <f>Données!$C$4</f>
        <v>Black</v>
      </c>
      <c r="F7" s="173" t="str">
        <f t="shared" si="0"/>
        <v>Rail1,2Black</v>
      </c>
      <c r="G7" s="174">
        <v>380097</v>
      </c>
      <c r="H7" s="140"/>
      <c r="I7" s="48" t="s">
        <v>425</v>
      </c>
      <c r="J7">
        <f t="shared" si="1"/>
        <v>28</v>
      </c>
      <c r="K7" s="108" t="str">
        <f t="shared" ref="K7:P10" si="4">IF($F7=$E$41,"x","")</f>
        <v/>
      </c>
      <c r="L7" s="95" t="str">
        <f t="shared" si="4"/>
        <v/>
      </c>
      <c r="M7" s="95" t="str">
        <f t="shared" si="4"/>
        <v/>
      </c>
      <c r="N7" s="95" t="str">
        <f t="shared" si="4"/>
        <v/>
      </c>
      <c r="O7" s="96" t="str">
        <f t="shared" si="4"/>
        <v/>
      </c>
      <c r="P7" s="96" t="str">
        <f t="shared" si="4"/>
        <v/>
      </c>
      <c r="Q7" s="158"/>
      <c r="R7" s="150">
        <v>15</v>
      </c>
      <c r="S7">
        <v>2232.5</v>
      </c>
      <c r="T7">
        <v>2232.5</v>
      </c>
    </row>
    <row r="8" spans="1:20" ht="46.2" customHeight="1" x14ac:dyDescent="0.3">
      <c r="A8" s="95" t="str">
        <f>IF(HLOOKUP(choix_couv,$K$1:$P$39,ROW(),FALSE)="x",LARGE($A$2:$A7,1)+1,"")</f>
        <v/>
      </c>
      <c r="B8" s="763"/>
      <c r="C8" s="171" t="s">
        <v>68</v>
      </c>
      <c r="D8" s="115">
        <f>Données!D5</f>
        <v>2.4</v>
      </c>
      <c r="E8" s="47" t="str">
        <f>Données!$C$4</f>
        <v>Black</v>
      </c>
      <c r="F8" s="173" t="str">
        <f t="shared" si="0"/>
        <v>Rail2,4Black</v>
      </c>
      <c r="G8" s="174" t="s">
        <v>144</v>
      </c>
      <c r="H8" s="140" t="s">
        <v>104</v>
      </c>
      <c r="I8" s="48" t="s">
        <v>426</v>
      </c>
      <c r="J8">
        <f t="shared" si="1"/>
        <v>28</v>
      </c>
      <c r="K8" s="108" t="str">
        <f t="shared" si="4"/>
        <v/>
      </c>
      <c r="L8" s="95" t="str">
        <f t="shared" si="4"/>
        <v/>
      </c>
      <c r="M8" s="95" t="str">
        <f t="shared" si="4"/>
        <v/>
      </c>
      <c r="N8" s="95" t="str">
        <f t="shared" si="4"/>
        <v/>
      </c>
      <c r="O8" s="96" t="str">
        <f t="shared" si="4"/>
        <v/>
      </c>
      <c r="P8" s="96" t="str">
        <f t="shared" si="4"/>
        <v/>
      </c>
      <c r="Q8" s="158"/>
      <c r="R8" s="150">
        <v>15</v>
      </c>
      <c r="S8">
        <v>2232.5</v>
      </c>
      <c r="T8">
        <v>2232.5</v>
      </c>
    </row>
    <row r="9" spans="1:20" ht="46.2" customHeight="1" x14ac:dyDescent="0.3">
      <c r="A9" s="95" t="str">
        <f>IF(HLOOKUP(choix_couv,$K$1:$P$39,ROW(),FALSE)="x",LARGE($A$2:$A8,1)+1,"")</f>
        <v/>
      </c>
      <c r="B9" s="763"/>
      <c r="C9" s="171" t="s">
        <v>68</v>
      </c>
      <c r="D9" s="115">
        <f>Données!E5</f>
        <v>3.6</v>
      </c>
      <c r="E9" s="47" t="str">
        <f>Données!$C$4</f>
        <v>Black</v>
      </c>
      <c r="F9" s="173" t="str">
        <f t="shared" si="0"/>
        <v>Rail3,6Black</v>
      </c>
      <c r="G9" s="175">
        <v>380072</v>
      </c>
      <c r="H9" s="140"/>
      <c r="I9" s="176" t="s">
        <v>451</v>
      </c>
      <c r="J9" s="127">
        <f t="shared" si="1"/>
        <v>28</v>
      </c>
      <c r="K9" s="122" t="str">
        <f t="shared" si="4"/>
        <v/>
      </c>
      <c r="L9" s="123" t="str">
        <f t="shared" si="4"/>
        <v/>
      </c>
      <c r="M9" s="123" t="str">
        <f t="shared" si="4"/>
        <v/>
      </c>
      <c r="N9" s="123" t="str">
        <f t="shared" si="4"/>
        <v/>
      </c>
      <c r="O9" s="124" t="str">
        <f t="shared" si="4"/>
        <v/>
      </c>
      <c r="P9" s="124" t="str">
        <f t="shared" si="4"/>
        <v/>
      </c>
      <c r="Q9" s="158"/>
      <c r="R9" s="150">
        <v>15</v>
      </c>
      <c r="S9">
        <v>2232.5</v>
      </c>
      <c r="T9">
        <v>2232.5</v>
      </c>
    </row>
    <row r="10" spans="1:20" ht="46.2" customHeight="1" x14ac:dyDescent="0.3">
      <c r="A10" s="95" t="str">
        <f>IF(HLOOKUP(choix_couv,$K$1:$P$39,ROW(),FALSE)="x",LARGE($A$2:$A9,1)+1,"")</f>
        <v/>
      </c>
      <c r="B10" s="763"/>
      <c r="C10" s="171" t="s">
        <v>68</v>
      </c>
      <c r="D10" s="115">
        <f>Données!F5</f>
        <v>4.8</v>
      </c>
      <c r="E10" s="47" t="str">
        <f>Données!$C$4</f>
        <v>Black</v>
      </c>
      <c r="F10" s="173" t="str">
        <f t="shared" ref="F10:F13" si="5">_xlfn.CONCAT(C10:E10)</f>
        <v>Rail4,8Black</v>
      </c>
      <c r="G10" s="174">
        <v>380073</v>
      </c>
      <c r="H10" s="140"/>
      <c r="I10" s="554" t="s">
        <v>452</v>
      </c>
      <c r="J10" s="127">
        <f t="shared" si="1"/>
        <v>28</v>
      </c>
      <c r="K10" s="108" t="str">
        <f t="shared" si="4"/>
        <v/>
      </c>
      <c r="L10" s="95" t="str">
        <f t="shared" si="4"/>
        <v/>
      </c>
      <c r="M10" s="95" t="str">
        <f t="shared" si="4"/>
        <v/>
      </c>
      <c r="N10" s="95" t="str">
        <f t="shared" si="4"/>
        <v/>
      </c>
      <c r="O10" s="96" t="str">
        <f t="shared" si="4"/>
        <v/>
      </c>
      <c r="P10" s="96" t="str">
        <f t="shared" si="4"/>
        <v/>
      </c>
      <c r="Q10" s="158"/>
      <c r="R10" s="150"/>
    </row>
    <row r="11" spans="1:20" ht="46.2" customHeight="1" x14ac:dyDescent="0.3">
      <c r="A11" s="95" t="str">
        <f>IF(HLOOKUP(choix_couv,$K$1:$P$39,ROW(),FALSE)="x",LARGE($A$2:$A10,1)+1,"")</f>
        <v/>
      </c>
      <c r="B11" s="763"/>
      <c r="C11" s="171" t="s">
        <v>464</v>
      </c>
      <c r="D11" s="115">
        <v>0.4</v>
      </c>
      <c r="E11" s="47"/>
      <c r="F11" s="173" t="str">
        <f t="shared" si="5"/>
        <v>ISYRAIL0,4</v>
      </c>
      <c r="G11" s="174">
        <v>380083</v>
      </c>
      <c r="H11" s="140"/>
      <c r="I11" s="48" t="s">
        <v>453</v>
      </c>
      <c r="J11">
        <f>IF(Comp_calep=TRUE,Nb_rail)</f>
        <v>28</v>
      </c>
      <c r="K11" s="108"/>
      <c r="L11" s="95"/>
      <c r="M11" s="95"/>
      <c r="N11" s="95"/>
      <c r="O11" s="96"/>
      <c r="P11" s="96" t="str">
        <f t="shared" ref="P11" si="6">IF($F11=$E$44,"x","")</f>
        <v/>
      </c>
      <c r="Q11" s="158"/>
      <c r="R11" s="150"/>
      <c r="S11">
        <v>1898</v>
      </c>
      <c r="T11">
        <v>6000</v>
      </c>
    </row>
    <row r="12" spans="1:20" ht="46.2" customHeight="1" x14ac:dyDescent="0.3">
      <c r="A12" s="95">
        <f>IF(HLOOKUP(choix_couv,$K$1:$P$39,ROW(),FALSE)="x",LARGE($A$2:$A11,1)+1,"")</f>
        <v>1</v>
      </c>
      <c r="B12" s="763"/>
      <c r="C12" s="171" t="s">
        <v>464</v>
      </c>
      <c r="D12" s="115">
        <v>0.38500000000000001</v>
      </c>
      <c r="E12" s="47"/>
      <c r="F12" s="173" t="str">
        <f t="shared" si="5"/>
        <v>ISYRAIL0,385</v>
      </c>
      <c r="G12" s="174">
        <v>380100</v>
      </c>
      <c r="H12" s="140"/>
      <c r="I12" s="48" t="s">
        <v>454</v>
      </c>
      <c r="J12">
        <f>IF(Comp_calep=TRUE,Nb_rail)-IF(choix_ISRA710="Oui",Logistique!J13,0)</f>
        <v>24</v>
      </c>
      <c r="K12" s="108"/>
      <c r="L12" s="95"/>
      <c r="M12" s="95"/>
      <c r="N12" s="95"/>
      <c r="O12" s="96"/>
      <c r="P12" s="96" t="str">
        <f t="shared" ref="P12" si="7">IF($F12=$E$44,"x","")</f>
        <v>x</v>
      </c>
      <c r="Q12" s="158"/>
      <c r="R12" s="150"/>
      <c r="S12">
        <v>3215</v>
      </c>
      <c r="T12">
        <v>8036</v>
      </c>
    </row>
    <row r="13" spans="1:20" ht="46.2" customHeight="1" x14ac:dyDescent="0.3">
      <c r="A13" s="95">
        <f>IF(HLOOKUP(choix_couv,$K$1:$P$39,ROW(),FALSE)="x",LARGE($A$2:$A12,1)+1,"")</f>
        <v>2</v>
      </c>
      <c r="B13" s="763"/>
      <c r="C13" s="171" t="s">
        <v>464</v>
      </c>
      <c r="D13" s="115">
        <v>0.38500000000000001</v>
      </c>
      <c r="E13" s="47"/>
      <c r="F13" s="173" t="str">
        <f t="shared" si="5"/>
        <v>ISYRAIL0,385</v>
      </c>
      <c r="G13" s="174">
        <v>300107</v>
      </c>
      <c r="H13" s="140"/>
      <c r="I13" s="48" t="s">
        <v>455</v>
      </c>
      <c r="J13">
        <f>IF(Comp_calep=TRUE,ROUNDUP(nb_colonne/10,0)*mult_rail*choix_brid,0)</f>
        <v>4</v>
      </c>
      <c r="K13" s="108"/>
      <c r="L13" s="95"/>
      <c r="M13" s="95"/>
      <c r="N13" s="95"/>
      <c r="O13" s="96"/>
      <c r="P13" s="96" t="str">
        <f>IF(AND($F13=$E$44,choix_ISRA710="OUI"),"x","")</f>
        <v>x</v>
      </c>
      <c r="Q13" s="158"/>
      <c r="R13" s="150"/>
      <c r="S13">
        <v>3215</v>
      </c>
      <c r="T13">
        <v>8036</v>
      </c>
    </row>
    <row r="14" spans="1:20" ht="46.2" customHeight="1" x14ac:dyDescent="0.3">
      <c r="A14" s="95" t="str">
        <f>IF(HLOOKUP(choix_couv,$K$1:$P$39,ROW(),FALSE)="x",LARGE($A$2:$A13,1)+1,"")</f>
        <v/>
      </c>
      <c r="B14" s="763"/>
      <c r="C14" s="171" t="s">
        <v>92</v>
      </c>
      <c r="D14" s="115"/>
      <c r="E14" s="47"/>
      <c r="F14" s="173" t="str">
        <f t="shared" ref="F14:F36" si="8">_xlfn.CONCAT(C14:E14)</f>
        <v>raccord</v>
      </c>
      <c r="G14" s="174" t="s">
        <v>87</v>
      </c>
      <c r="H14" s="140"/>
      <c r="I14" s="48" t="s">
        <v>459</v>
      </c>
      <c r="J14">
        <f>IF(Comp_calep=TRUE,Nb_racc+Nb_racc_crois,)</f>
        <v>0</v>
      </c>
      <c r="K14" s="108"/>
      <c r="L14" s="95"/>
      <c r="M14" s="95"/>
      <c r="N14" s="95"/>
      <c r="O14" s="96"/>
      <c r="P14" s="95"/>
      <c r="Q14" s="158"/>
      <c r="R14" s="150">
        <v>4</v>
      </c>
    </row>
    <row r="15" spans="1:20" ht="46.2" customHeight="1" x14ac:dyDescent="0.3">
      <c r="A15" s="95" t="str">
        <f>IF(HLOOKUP(choix_couv,$K$1:$P$39,ROW(),FALSE)="x",LARGE($A$2:$A14,1)+1,"")</f>
        <v/>
      </c>
      <c r="B15" s="763"/>
      <c r="C15" s="171" t="s">
        <v>92</v>
      </c>
      <c r="D15" s="115"/>
      <c r="E15" s="47"/>
      <c r="F15" s="173" t="str">
        <f t="shared" si="8"/>
        <v>raccord</v>
      </c>
      <c r="G15" s="547">
        <v>380104</v>
      </c>
      <c r="H15" s="548"/>
      <c r="I15" s="549" t="s">
        <v>460</v>
      </c>
      <c r="J15" s="550">
        <f>IF(Comp_calep=TRUE,Nb_racc+Nb_racc_crois,)</f>
        <v>0</v>
      </c>
      <c r="K15" s="108" t="s">
        <v>19</v>
      </c>
      <c r="L15" s="95" t="s">
        <v>19</v>
      </c>
      <c r="M15" s="95" t="s">
        <v>19</v>
      </c>
      <c r="N15" s="95" t="s">
        <v>19</v>
      </c>
      <c r="O15" s="96" t="s">
        <v>19</v>
      </c>
      <c r="P15" s="95"/>
      <c r="Q15" s="158"/>
      <c r="R15" s="150"/>
    </row>
    <row r="16" spans="1:20" ht="46.2" customHeight="1" x14ac:dyDescent="0.3">
      <c r="A16" s="95" t="str">
        <f>IF(HLOOKUP(choix_couv,$K$1:$P$39,ROW(),FALSE)="x",LARGE($A$2:$A15,1)+1,"")</f>
        <v/>
      </c>
      <c r="B16" s="763"/>
      <c r="C16" s="171" t="s">
        <v>103</v>
      </c>
      <c r="D16" s="115"/>
      <c r="E16" s="47" t="str">
        <f>Données!$C$4</f>
        <v>Black</v>
      </c>
      <c r="F16" s="173" t="str">
        <f t="shared" si="8"/>
        <v>BouchonBlack</v>
      </c>
      <c r="G16" s="547">
        <v>380069</v>
      </c>
      <c r="H16" s="140"/>
      <c r="I16" s="551" t="s">
        <v>461</v>
      </c>
      <c r="J16" s="61">
        <f>IF(Comp_calep=TRUE,2*(mult_rail*IF(Choix_calep=Données!$H$6,1,choix_brid)+mult_rail_crois*choix_brid),)</f>
        <v>8</v>
      </c>
      <c r="K16" s="122" t="str">
        <f t="shared" ref="K16:O17" si="9">IF($F16=$E$42,"x","")</f>
        <v>x</v>
      </c>
      <c r="L16" s="95" t="str">
        <f t="shared" si="9"/>
        <v>x</v>
      </c>
      <c r="M16" s="95" t="str">
        <f t="shared" si="9"/>
        <v>x</v>
      </c>
      <c r="N16" s="95" t="str">
        <f t="shared" si="9"/>
        <v>x</v>
      </c>
      <c r="O16" s="96" t="str">
        <f t="shared" si="9"/>
        <v>x</v>
      </c>
      <c r="P16" s="95"/>
      <c r="Q16" s="158"/>
      <c r="R16" s="150">
        <v>1</v>
      </c>
    </row>
    <row r="17" spans="1:20" ht="46.2" customHeight="1" x14ac:dyDescent="0.3">
      <c r="A17" s="95" t="str">
        <f>IF(HLOOKUP(choix_couv,$K$1:$P$39,ROW(),FALSE)="x",LARGE($A$2:$A16,1)+1,"")</f>
        <v/>
      </c>
      <c r="B17" s="763"/>
      <c r="C17" s="171" t="s">
        <v>103</v>
      </c>
      <c r="D17" s="115"/>
      <c r="E17" s="47" t="str">
        <f>Données!$D$4</f>
        <v>Alu</v>
      </c>
      <c r="F17" s="173" t="str">
        <f t="shared" si="8"/>
        <v>BouchonAlu</v>
      </c>
      <c r="G17" s="174">
        <v>380074</v>
      </c>
      <c r="H17" s="140"/>
      <c r="I17" s="48" t="s">
        <v>462</v>
      </c>
      <c r="J17" s="61">
        <f>IF(Comp_calep=TRUE,2*(Nb_rail/rail_ligne+mult_rail_crois*choix_brid),)</f>
        <v>8</v>
      </c>
      <c r="K17" s="122" t="str">
        <f t="shared" si="9"/>
        <v/>
      </c>
      <c r="L17" s="95" t="str">
        <f t="shared" si="9"/>
        <v/>
      </c>
      <c r="M17" s="95" t="str">
        <f t="shared" si="9"/>
        <v/>
      </c>
      <c r="N17" s="95" t="str">
        <f t="shared" si="9"/>
        <v/>
      </c>
      <c r="O17" s="96" t="str">
        <f t="shared" si="9"/>
        <v/>
      </c>
      <c r="P17" s="96"/>
      <c r="Q17" s="158"/>
      <c r="R17" s="150">
        <v>1</v>
      </c>
    </row>
    <row r="18" spans="1:20" ht="46.2" customHeight="1" x14ac:dyDescent="0.3">
      <c r="A18" s="95" t="str">
        <f>IF(HLOOKUP(choix_couv,$K$1:$P$39,ROW(),FALSE)="x",LARGE($A$2:$A17,1)+1,"")</f>
        <v/>
      </c>
      <c r="B18" s="764"/>
      <c r="C18" s="171"/>
      <c r="D18" s="115"/>
      <c r="E18" s="47"/>
      <c r="F18" s="173" t="str">
        <f t="shared" si="8"/>
        <v/>
      </c>
      <c r="G18" s="547">
        <v>380086</v>
      </c>
      <c r="H18" s="140"/>
      <c r="I18" s="179" t="s">
        <v>463</v>
      </c>
      <c r="J18">
        <f>IF(Comp_calep=TRUE,Nb_conn_crois,)</f>
        <v>0</v>
      </c>
      <c r="K18" s="108" t="str">
        <f>IF(Choix_calep=Données!$H$6,"x","")</f>
        <v/>
      </c>
      <c r="L18" s="95" t="str">
        <f>IF(Choix_calep=Données!$H$6,"x","")</f>
        <v/>
      </c>
      <c r="M18" s="95" t="str">
        <f>IF(Choix_calep=Données!$H$6,"x","")</f>
        <v/>
      </c>
      <c r="N18" s="95" t="str">
        <f>IF(Choix_calep=Données!$H$6,"x","")</f>
        <v/>
      </c>
      <c r="O18" s="96" t="str">
        <f>IF(Choix_calep=Données!$H$6,"x","")</f>
        <v/>
      </c>
      <c r="P18" s="96"/>
      <c r="Q18" s="159"/>
      <c r="R18" s="160">
        <v>3</v>
      </c>
    </row>
    <row r="19" spans="1:20" ht="46.2" customHeight="1" x14ac:dyDescent="0.3">
      <c r="A19" s="95" t="str">
        <f>IF(HLOOKUP(choix_couv,$K$1:$P$39,ROW(),FALSE)="x",LARGE($A$2:$A18,1)+1,"")</f>
        <v/>
      </c>
      <c r="B19" s="765" t="s">
        <v>101</v>
      </c>
      <c r="C19" s="496" t="s">
        <v>95</v>
      </c>
      <c r="D19" s="111"/>
      <c r="E19" s="499" t="str">
        <f>Données!$D$4</f>
        <v>Alu</v>
      </c>
      <c r="F19" s="499" t="str">
        <f t="shared" si="8"/>
        <v>BrideAlu</v>
      </c>
      <c r="G19" s="497" t="s">
        <v>97</v>
      </c>
      <c r="H19" s="552"/>
      <c r="I19" s="48" t="s">
        <v>465</v>
      </c>
      <c r="J19" s="498">
        <f>IF(Comp_calep=TRUE,Nb_bride_exter,)</f>
        <v>8</v>
      </c>
      <c r="K19" s="121" t="str">
        <f t="shared" ref="K19:P24" si="10">IF($F19=$E$43,"x","")</f>
        <v/>
      </c>
      <c r="L19" s="93" t="str">
        <f t="shared" si="10"/>
        <v/>
      </c>
      <c r="M19" s="93" t="str">
        <f t="shared" si="10"/>
        <v/>
      </c>
      <c r="N19" s="93" t="str">
        <f t="shared" si="10"/>
        <v/>
      </c>
      <c r="O19" s="94" t="str">
        <f t="shared" si="10"/>
        <v/>
      </c>
      <c r="P19" s="94" t="str">
        <f t="shared" si="10"/>
        <v/>
      </c>
      <c r="Q19" s="14"/>
      <c r="R19" s="150">
        <v>2</v>
      </c>
      <c r="S19" s="48">
        <v>3101.5</v>
      </c>
    </row>
    <row r="20" spans="1:20" ht="46.2" customHeight="1" x14ac:dyDescent="0.3">
      <c r="A20" s="95" t="str">
        <f>IF(HLOOKUP(choix_couv,$K$1:$P$39,ROW(),FALSE)="x",LARGE($A$2:$A19,1)+1,"")</f>
        <v/>
      </c>
      <c r="B20" s="766"/>
      <c r="C20" s="171" t="s">
        <v>95</v>
      </c>
      <c r="D20" s="115"/>
      <c r="E20" s="47" t="str">
        <f>Données!$D$4</f>
        <v>Alu</v>
      </c>
      <c r="F20" s="47" t="str">
        <f t="shared" si="8"/>
        <v>BrideAlu</v>
      </c>
      <c r="G20" s="174" t="s">
        <v>98</v>
      </c>
      <c r="H20" s="140"/>
      <c r="I20" s="48" t="s">
        <v>94</v>
      </c>
      <c r="J20" s="48">
        <f>IF(Comp_calep=TRUE,Nb_bride_inter,)</f>
        <v>20</v>
      </c>
      <c r="K20" s="108" t="str">
        <f t="shared" si="10"/>
        <v/>
      </c>
      <c r="L20" s="95" t="str">
        <f t="shared" si="10"/>
        <v/>
      </c>
      <c r="M20" s="95" t="str">
        <f t="shared" si="10"/>
        <v/>
      </c>
      <c r="N20" s="95" t="str">
        <f t="shared" si="10"/>
        <v/>
      </c>
      <c r="O20" s="96" t="str">
        <f t="shared" si="10"/>
        <v/>
      </c>
      <c r="P20" s="96" t="str">
        <f t="shared" si="10"/>
        <v/>
      </c>
      <c r="Q20" s="14"/>
      <c r="R20" s="150">
        <v>2</v>
      </c>
      <c r="S20" s="48">
        <v>3582</v>
      </c>
    </row>
    <row r="21" spans="1:20" ht="46.2" customHeight="1" x14ac:dyDescent="0.3">
      <c r="A21" s="95" t="str">
        <f>IF(HLOOKUP(choix_couv,$K$1:$P$39,ROW(),FALSE)="x",LARGE($A$2:$A20,1)+1,"")</f>
        <v/>
      </c>
      <c r="B21" s="766"/>
      <c r="C21" s="171" t="s">
        <v>95</v>
      </c>
      <c r="D21" s="115"/>
      <c r="E21" s="47" t="str">
        <f>Données!$C$4</f>
        <v>Black</v>
      </c>
      <c r="F21" s="47" t="str">
        <f t="shared" si="8"/>
        <v>BrideBlack</v>
      </c>
      <c r="G21" s="174" t="s">
        <v>148</v>
      </c>
      <c r="H21" s="140"/>
      <c r="I21" s="48" t="s">
        <v>427</v>
      </c>
      <c r="J21" s="48">
        <f>IF(Comp_calep=TRUE,Nb_bride_exter,)</f>
        <v>8</v>
      </c>
      <c r="K21" s="108"/>
      <c r="L21" s="95"/>
      <c r="M21" s="95"/>
      <c r="N21" s="95"/>
      <c r="O21" s="96"/>
      <c r="P21" s="96"/>
      <c r="Q21" s="14"/>
      <c r="R21" s="150">
        <v>2</v>
      </c>
      <c r="S21" s="48">
        <v>3101.5</v>
      </c>
    </row>
    <row r="22" spans="1:20" ht="46.2" customHeight="1" x14ac:dyDescent="0.3">
      <c r="A22" s="95" t="str">
        <f>IF(HLOOKUP(choix_couv,$K$1:$P$39,ROW(),FALSE)="x",LARGE($A$2:$A21,1)+1,"")</f>
        <v/>
      </c>
      <c r="B22" s="766"/>
      <c r="C22" s="171" t="s">
        <v>95</v>
      </c>
      <c r="D22" s="115"/>
      <c r="E22" s="47" t="str">
        <f>Données!$C$4</f>
        <v>Black</v>
      </c>
      <c r="F22" s="47" t="str">
        <f t="shared" si="8"/>
        <v>BrideBlack</v>
      </c>
      <c r="G22" s="174" t="s">
        <v>149</v>
      </c>
      <c r="H22" s="140"/>
      <c r="I22" s="48" t="s">
        <v>428</v>
      </c>
      <c r="J22" s="48">
        <f>IF(Comp_calep=TRUE,Nb_bride_inter,)</f>
        <v>20</v>
      </c>
      <c r="K22" s="108"/>
      <c r="L22" s="95"/>
      <c r="M22" s="95"/>
      <c r="N22" s="95"/>
      <c r="O22" s="96"/>
      <c r="P22" s="96"/>
      <c r="Q22" s="14"/>
      <c r="R22" s="150">
        <v>2</v>
      </c>
      <c r="S22" s="48">
        <v>3093</v>
      </c>
    </row>
    <row r="23" spans="1:20" ht="46.2" customHeight="1" x14ac:dyDescent="0.3">
      <c r="A23" s="95">
        <f>IF(HLOOKUP(choix_couv,$K$1:$P$39,ROW(),FALSE)="x",LARGE($A$2:$A22,1)+1,"")</f>
        <v>3</v>
      </c>
      <c r="B23" s="766"/>
      <c r="C23" s="171" t="s">
        <v>95</v>
      </c>
      <c r="D23" s="115"/>
      <c r="E23" s="47" t="str">
        <f>Données!$C$4</f>
        <v>Black</v>
      </c>
      <c r="F23" s="47" t="str">
        <f t="shared" ref="F23:F24" si="11">_xlfn.CONCAT(C23:E23)</f>
        <v>BrideBlack</v>
      </c>
      <c r="G23" s="174">
        <v>380108</v>
      </c>
      <c r="H23" s="140"/>
      <c r="I23" s="48" t="s">
        <v>429</v>
      </c>
      <c r="J23" s="48">
        <f>IF(Comp_calep=TRUE,Nb_bride_exter,)</f>
        <v>8</v>
      </c>
      <c r="K23" s="108" t="str">
        <f t="shared" si="10"/>
        <v>x</v>
      </c>
      <c r="L23" s="95" t="str">
        <f t="shared" si="10"/>
        <v>x</v>
      </c>
      <c r="M23" s="95" t="str">
        <f t="shared" si="10"/>
        <v>x</v>
      </c>
      <c r="N23" s="95" t="str">
        <f t="shared" si="10"/>
        <v>x</v>
      </c>
      <c r="O23" s="96" t="str">
        <f t="shared" si="10"/>
        <v>x</v>
      </c>
      <c r="P23" s="96" t="str">
        <f t="shared" si="10"/>
        <v>x</v>
      </c>
      <c r="Q23" s="14"/>
      <c r="R23" s="150">
        <v>2</v>
      </c>
      <c r="S23" s="48"/>
    </row>
    <row r="24" spans="1:20" ht="46.2" customHeight="1" x14ac:dyDescent="0.3">
      <c r="A24" s="95">
        <f>IF(HLOOKUP(choix_couv,$K$1:$P$39,ROW(),FALSE)="x",LARGE($A$2:$A23,1)+1,"")</f>
        <v>4</v>
      </c>
      <c r="B24" s="767"/>
      <c r="C24" s="172" t="s">
        <v>95</v>
      </c>
      <c r="D24" s="117"/>
      <c r="E24" s="177" t="str">
        <f>Données!$C$4</f>
        <v>Black</v>
      </c>
      <c r="F24" s="177" t="str">
        <f t="shared" si="11"/>
        <v>BrideBlack</v>
      </c>
      <c r="G24" s="178">
        <v>380109</v>
      </c>
      <c r="H24" s="553"/>
      <c r="I24" s="179" t="s">
        <v>430</v>
      </c>
      <c r="J24" s="179">
        <f>IF(Comp_calep=TRUE,Nb_bride_inter,)</f>
        <v>20</v>
      </c>
      <c r="K24" s="109" t="str">
        <f t="shared" si="10"/>
        <v>x</v>
      </c>
      <c r="L24" s="100" t="str">
        <f t="shared" si="10"/>
        <v>x</v>
      </c>
      <c r="M24" s="100" t="str">
        <f t="shared" si="10"/>
        <v>x</v>
      </c>
      <c r="N24" s="100" t="str">
        <f t="shared" si="10"/>
        <v>x</v>
      </c>
      <c r="O24" s="101" t="str">
        <f t="shared" si="10"/>
        <v>x</v>
      </c>
      <c r="P24" s="101" t="str">
        <f t="shared" si="10"/>
        <v>x</v>
      </c>
      <c r="Q24" s="14"/>
      <c r="R24" s="150">
        <v>2</v>
      </c>
      <c r="S24" s="48"/>
    </row>
    <row r="25" spans="1:20" ht="49.2" customHeight="1" x14ac:dyDescent="0.3">
      <c r="A25" s="95" t="str">
        <f>IF(HLOOKUP(choix_couv,$K$1:$P$39,ROW(),FALSE)="x",LARGE($A$2:$A24,1)+1,"")</f>
        <v/>
      </c>
      <c r="B25" s="761" t="s">
        <v>45</v>
      </c>
      <c r="C25" s="171" t="s">
        <v>96</v>
      </c>
      <c r="D25" s="115"/>
      <c r="E25" s="47"/>
      <c r="F25" s="173" t="str">
        <f t="shared" si="8"/>
        <v>Crochet</v>
      </c>
      <c r="G25" s="174" t="s">
        <v>145</v>
      </c>
      <c r="I25" s="48" t="s">
        <v>431</v>
      </c>
      <c r="J25" s="48">
        <f t="shared" ref="J25:J33" si="12">IF(Comp_calep=TRUE,Nb_croch,)</f>
        <v>0</v>
      </c>
      <c r="K25" s="108" t="str">
        <f>IF(AND(Choix_croch=Logistique!$I25,OR(choix_charp=Données!$C$11,choix_charp=Données!$D$11)),"x","")</f>
        <v/>
      </c>
      <c r="L25" s="95" t="str">
        <f>IF(AND(Choix_croch=Logistique!$I25,OR(choix_charp=Données!$C$11,choix_charp=Données!$D$11)),"x","")</f>
        <v/>
      </c>
      <c r="M25" s="95"/>
      <c r="N25" s="95"/>
      <c r="O25" s="96"/>
      <c r="P25" s="96"/>
      <c r="Q25" s="156"/>
      <c r="R25" s="157">
        <v>8</v>
      </c>
      <c r="S25" s="48">
        <v>2500</v>
      </c>
      <c r="T25" s="500">
        <v>380.5</v>
      </c>
    </row>
    <row r="26" spans="1:20" ht="46.2" customHeight="1" x14ac:dyDescent="0.3">
      <c r="A26" s="95" t="str">
        <f>IF(HLOOKUP(choix_couv,$K$1:$P$39,ROW(),FALSE)="x",LARGE($A$2:$A25,1)+1,"")</f>
        <v/>
      </c>
      <c r="B26" s="761"/>
      <c r="C26" s="171"/>
      <c r="D26" s="115"/>
      <c r="E26" s="47"/>
      <c r="F26" s="173" t="str">
        <f t="shared" si="8"/>
        <v/>
      </c>
      <c r="G26" s="174">
        <v>380082</v>
      </c>
      <c r="I26" s="48" t="s">
        <v>432</v>
      </c>
      <c r="J26" s="48">
        <f t="shared" si="12"/>
        <v>0</v>
      </c>
      <c r="K26" s="108" t="str">
        <f>IF(AND(Choix_croch=Logistique!$I26,OR(choix_charp=Données!$C$11,choix_charp=Données!$D$11)),"x","")</f>
        <v/>
      </c>
      <c r="L26" s="95" t="str">
        <f>IF(AND(Choix_croch=Logistique!$I26,OR(choix_charp=Données!$C$11,choix_charp=Données!$D$11)),"x","")</f>
        <v/>
      </c>
      <c r="M26" s="95"/>
      <c r="N26" s="95"/>
      <c r="O26" s="96"/>
      <c r="P26" s="96"/>
      <c r="Q26" s="158"/>
      <c r="R26" s="150">
        <v>8</v>
      </c>
      <c r="S26" s="48">
        <v>1200</v>
      </c>
      <c r="T26" s="48">
        <v>332</v>
      </c>
    </row>
    <row r="27" spans="1:20" ht="46.2" customHeight="1" x14ac:dyDescent="0.3">
      <c r="A27" s="95" t="str">
        <f>IF(HLOOKUP(choix_couv,$K$1:$P$39,ROW(),FALSE)="x",LARGE($A$2:$A26,1)+1,"")</f>
        <v/>
      </c>
      <c r="B27" s="761"/>
      <c r="C27" s="171"/>
      <c r="D27" s="115"/>
      <c r="E27" s="47"/>
      <c r="F27" s="173" t="str">
        <f t="shared" si="8"/>
        <v/>
      </c>
      <c r="G27" s="174" t="s">
        <v>146</v>
      </c>
      <c r="I27" s="48" t="s">
        <v>433</v>
      </c>
      <c r="J27" s="48">
        <f t="shared" si="12"/>
        <v>0</v>
      </c>
      <c r="K27" s="108" t="s">
        <v>104</v>
      </c>
      <c r="L27" s="95"/>
      <c r="M27" s="95"/>
      <c r="N27" s="95"/>
      <c r="O27" s="96" t="str">
        <f>IF(AND(Choix_croch=Logistique!$I27,Comp_croch=TRUE),"x","")</f>
        <v/>
      </c>
      <c r="P27" s="96" t="str">
        <f>IF(AND(Choix_croch=Logistique!$I27,Comp_croch=TRUE),"x","")</f>
        <v/>
      </c>
      <c r="Q27" s="14"/>
      <c r="R27" s="150">
        <v>8</v>
      </c>
      <c r="S27" s="48">
        <v>6882.0833333333339</v>
      </c>
      <c r="T27" s="48">
        <v>3826.5</v>
      </c>
    </row>
    <row r="28" spans="1:20" ht="46.2" customHeight="1" x14ac:dyDescent="0.3">
      <c r="A28" s="95" t="str">
        <f>IF(HLOOKUP(choix_couv,$K$1:$P$39,ROW(),FALSE)="x",LARGE($A$2:$A27,1)+1,"")</f>
        <v/>
      </c>
      <c r="B28" s="761"/>
      <c r="C28" s="171"/>
      <c r="D28" s="115"/>
      <c r="E28" s="47"/>
      <c r="F28" s="173"/>
      <c r="G28" s="174">
        <v>380106</v>
      </c>
      <c r="I28" s="48" t="s">
        <v>434</v>
      </c>
      <c r="J28" s="48">
        <f t="shared" si="12"/>
        <v>0</v>
      </c>
      <c r="K28" s="108"/>
      <c r="L28" s="95"/>
      <c r="M28" s="95"/>
      <c r="N28" s="95"/>
      <c r="O28" s="96" t="str">
        <f>IF(AND(Choix_croch=Logistique!$I28,Comp_croch=TRUE),"x","")</f>
        <v/>
      </c>
      <c r="P28" s="96" t="str">
        <f>IF(AND(Choix_croch=Logistique!$I28,Comp_croch=TRUE),"x","")</f>
        <v/>
      </c>
      <c r="Q28" s="14"/>
      <c r="R28" s="150"/>
      <c r="S28" s="48">
        <v>6882.0833333333339</v>
      </c>
      <c r="T28" s="48">
        <v>3826.5</v>
      </c>
    </row>
    <row r="29" spans="1:20" ht="46.2" customHeight="1" x14ac:dyDescent="0.3">
      <c r="A29" s="95" t="str">
        <f>IF(HLOOKUP(choix_couv,$K$1:$P$39,ROW(),FALSE)="x",LARGE($A$2:$A28,1)+1,"")</f>
        <v/>
      </c>
      <c r="B29" s="761"/>
      <c r="C29" s="171"/>
      <c r="D29" s="115"/>
      <c r="E29" s="47"/>
      <c r="F29" s="173"/>
      <c r="G29" s="174" t="s">
        <v>436</v>
      </c>
      <c r="I29" s="48" t="s">
        <v>435</v>
      </c>
      <c r="J29" s="48">
        <f t="shared" si="12"/>
        <v>0</v>
      </c>
      <c r="K29" s="108"/>
      <c r="L29" s="95"/>
      <c r="M29" s="95"/>
      <c r="N29" s="95"/>
      <c r="O29" s="96" t="str">
        <f>IF(AND(Choix_croch=Logistique!$I29,Comp_croch=TRUE),"x","")</f>
        <v/>
      </c>
      <c r="P29" s="96" t="str">
        <f>IF(AND(Choix_croch=Logistique!$I29,Comp_croch=TRUE),"x","")</f>
        <v/>
      </c>
      <c r="Q29" s="14"/>
      <c r="R29" s="150"/>
      <c r="S29" s="48">
        <v>6882.0833333333339</v>
      </c>
      <c r="T29" s="48">
        <v>3826.5</v>
      </c>
    </row>
    <row r="30" spans="1:20" ht="46.2" customHeight="1" x14ac:dyDescent="0.3">
      <c r="A30" s="95" t="str">
        <f>IF(HLOOKUP(choix_couv,$K$1:$P$39,ROW(),FALSE)="x",LARGE($A$2:$A29,1)+1,"")</f>
        <v/>
      </c>
      <c r="B30" s="761"/>
      <c r="C30" s="171"/>
      <c r="D30" s="115"/>
      <c r="E30" s="47"/>
      <c r="F30" s="173" t="str">
        <f t="shared" si="8"/>
        <v/>
      </c>
      <c r="G30" s="174" t="s">
        <v>147</v>
      </c>
      <c r="I30" s="48" t="s">
        <v>437</v>
      </c>
      <c r="J30" s="48">
        <f t="shared" si="12"/>
        <v>0</v>
      </c>
      <c r="K30" s="108" t="s">
        <v>104</v>
      </c>
      <c r="L30" s="95"/>
      <c r="M30" s="95"/>
      <c r="N30" s="95" t="str">
        <f>IF(AND(Choix_croch=Logistique!$I30,OR(choix_charp=Données!$C$11,choix_charp=Données!$D$11)),"x","")</f>
        <v/>
      </c>
      <c r="O30" s="96"/>
      <c r="P30" s="96"/>
      <c r="Q30" s="158"/>
      <c r="R30" s="150">
        <v>8</v>
      </c>
      <c r="S30" s="48">
        <v>694</v>
      </c>
      <c r="T30" s="48">
        <v>296</v>
      </c>
    </row>
    <row r="31" spans="1:20" ht="46.2" customHeight="1" x14ac:dyDescent="0.3">
      <c r="A31" s="95" t="str">
        <f>IF(HLOOKUP(choix_couv,$K$1:$P$39,ROW(),FALSE)="x",LARGE($A$2:$A30,1)+1,"")</f>
        <v/>
      </c>
      <c r="B31" s="761"/>
      <c r="C31" s="171"/>
      <c r="D31" s="115"/>
      <c r="E31" s="47"/>
      <c r="F31" s="173" t="str">
        <f t="shared" si="8"/>
        <v/>
      </c>
      <c r="G31" s="174">
        <v>380080</v>
      </c>
      <c r="I31" s="48" t="s">
        <v>438</v>
      </c>
      <c r="J31" s="48">
        <f t="shared" si="12"/>
        <v>0</v>
      </c>
      <c r="K31" s="108" t="s">
        <v>104</v>
      </c>
      <c r="L31" s="95"/>
      <c r="M31" s="95" t="str">
        <f>IF(AND(Choix_croch=Logistique!$I31,OR(choix_charp=Données!$C$11,choix_charp=Données!$D$11)),"x","")</f>
        <v/>
      </c>
      <c r="N31" s="95"/>
      <c r="O31" s="96"/>
      <c r="P31" s="96"/>
      <c r="Q31" s="158"/>
      <c r="R31" s="150">
        <v>8</v>
      </c>
      <c r="S31" s="48">
        <v>1468.5</v>
      </c>
      <c r="T31" s="48">
        <v>1094.5</v>
      </c>
    </row>
    <row r="32" spans="1:20" ht="46.2" customHeight="1" x14ac:dyDescent="0.3">
      <c r="A32" s="95" t="str">
        <f>IF(HLOOKUP(choix_couv,$K$1:$P$39,ROW(),FALSE)="x",LARGE($A$2:$A31,1)+1,"")</f>
        <v/>
      </c>
      <c r="B32" s="761"/>
      <c r="C32" s="171"/>
      <c r="D32" s="115"/>
      <c r="E32" s="47"/>
      <c r="F32" s="173"/>
      <c r="G32" s="174">
        <v>380999</v>
      </c>
      <c r="I32" s="48" t="s">
        <v>439</v>
      </c>
      <c r="J32" s="48">
        <f t="shared" si="12"/>
        <v>0</v>
      </c>
      <c r="K32" s="108"/>
      <c r="L32" s="95"/>
      <c r="M32" s="95" t="str">
        <f>IF(AND(Choix_croch=Logistique!$I32,OR(choix_charp=Données!$C$11,choix_charp=Données!$D$11)),"x","")</f>
        <v/>
      </c>
      <c r="N32" s="95"/>
      <c r="O32" s="96"/>
      <c r="P32" s="96"/>
      <c r="Q32" s="14"/>
      <c r="R32" s="150"/>
      <c r="S32" s="48">
        <v>1468.5</v>
      </c>
      <c r="T32" s="48">
        <v>1094.5</v>
      </c>
    </row>
    <row r="33" spans="1:20" ht="46.2" customHeight="1" x14ac:dyDescent="0.3">
      <c r="A33" s="95" t="str">
        <f>IF(HLOOKUP(choix_couv,$K$1:$P$39,ROW(),FALSE)="x",LARGE($A$2:$A32,1)+1,"")</f>
        <v/>
      </c>
      <c r="B33" s="761"/>
      <c r="C33" s="171"/>
      <c r="D33" s="115"/>
      <c r="E33" s="47"/>
      <c r="F33" s="173" t="str">
        <f t="shared" si="8"/>
        <v/>
      </c>
      <c r="G33" s="174">
        <v>380095</v>
      </c>
      <c r="I33" s="554" t="s">
        <v>440</v>
      </c>
      <c r="J33" s="48">
        <f t="shared" si="12"/>
        <v>0</v>
      </c>
      <c r="K33" s="108" t="s">
        <v>104</v>
      </c>
      <c r="L33" s="95"/>
      <c r="M33" s="95"/>
      <c r="N33" s="95"/>
      <c r="O33" s="730" t="str">
        <f>IF(AND(Choix_croch=Logistique!$I33,Comp_croch=TRUE),"x","")</f>
        <v/>
      </c>
      <c r="P33" s="730" t="str">
        <f>IF(AND(Choix_croch=Logistique!$I33,Comp_croch=TRUE),"x","")</f>
        <v/>
      </c>
      <c r="Q33" s="14"/>
      <c r="R33" s="150">
        <v>8</v>
      </c>
      <c r="S33" s="48">
        <v>5000</v>
      </c>
      <c r="T33" s="48">
        <v>6000</v>
      </c>
    </row>
    <row r="34" spans="1:20" ht="46.2" customHeight="1" x14ac:dyDescent="0.3">
      <c r="A34" s="95" t="str">
        <f>IF(HLOOKUP(choix_couv,$K$1:$P$39,ROW(),FALSE)="x",LARGE($A$2:$A33,1)+1,"")</f>
        <v/>
      </c>
      <c r="B34" s="762" t="s">
        <v>102</v>
      </c>
      <c r="C34" s="496"/>
      <c r="D34" s="111"/>
      <c r="E34" s="499"/>
      <c r="F34" s="499" t="str">
        <f t="shared" si="8"/>
        <v/>
      </c>
      <c r="G34" s="497" t="s">
        <v>86</v>
      </c>
      <c r="H34" s="552"/>
      <c r="I34" s="498" t="s">
        <v>441</v>
      </c>
      <c r="J34" s="501">
        <f>IF(Comp_calep=TRUE,3*Nb_croch,)</f>
        <v>0</v>
      </c>
      <c r="K34" s="121"/>
      <c r="L34" s="93"/>
      <c r="M34" s="93"/>
      <c r="N34" s="93"/>
      <c r="O34" s="96"/>
      <c r="P34" s="96"/>
      <c r="Q34" s="156"/>
      <c r="R34" s="157">
        <v>0.5</v>
      </c>
      <c r="S34">
        <f>HLOOKUP(choix_classe_bois,vis_resist,MATCH(I34,Mécanique!$C$14:$C$16,0),FALSE)</f>
        <v>4439</v>
      </c>
    </row>
    <row r="35" spans="1:20" ht="46.2" customHeight="1" x14ac:dyDescent="0.3">
      <c r="A35" s="95" t="str">
        <f>IF(HLOOKUP(choix_couv,$K$1:$P$39,ROW(),FALSE)="x",LARGE($A$2:$A34,1)+1,"")</f>
        <v/>
      </c>
      <c r="B35" s="763"/>
      <c r="C35" s="171"/>
      <c r="D35" s="115"/>
      <c r="E35" s="47"/>
      <c r="F35" s="47"/>
      <c r="G35" s="174">
        <v>380998</v>
      </c>
      <c r="H35" s="140"/>
      <c r="I35" s="48" t="s">
        <v>442</v>
      </c>
      <c r="J35" s="502">
        <f>IF(Comp_calep=TRUE,3*Nb_croch,)</f>
        <v>0</v>
      </c>
      <c r="K35" s="108" t="s">
        <v>19</v>
      </c>
      <c r="L35" s="95" t="s">
        <v>19</v>
      </c>
      <c r="M35" s="95" t="s">
        <v>19</v>
      </c>
      <c r="N35" s="95" t="s">
        <v>19</v>
      </c>
      <c r="O35" s="96"/>
      <c r="P35" s="96"/>
      <c r="Q35" s="158"/>
      <c r="R35" s="150"/>
      <c r="S35">
        <f>HLOOKUP(choix_classe_bois,vis_resist,MATCH(I35,Mécanique!$C$14:$C$16,0),FALSE)</f>
        <v>4294</v>
      </c>
    </row>
    <row r="36" spans="1:20" ht="46.2" customHeight="1" x14ac:dyDescent="0.3">
      <c r="A36" s="95" t="str">
        <f>IF(HLOOKUP(choix_couv,$K$1:$P$39,ROW(),FALSE)="x",LARGE($A$2:$A35,1)+1,"")</f>
        <v/>
      </c>
      <c r="B36" s="763"/>
      <c r="C36" s="171"/>
      <c r="D36" s="115"/>
      <c r="E36" s="47"/>
      <c r="F36" s="47" t="str">
        <f t="shared" si="8"/>
        <v/>
      </c>
      <c r="G36" s="174">
        <v>380049</v>
      </c>
      <c r="H36" s="140"/>
      <c r="I36" s="48" t="s">
        <v>443</v>
      </c>
      <c r="J36" s="502">
        <f>IF(Comp_calep=TRUE,nb_ligne*nb_colonne,)</f>
        <v>12</v>
      </c>
      <c r="K36" s="108"/>
      <c r="L36" s="95"/>
      <c r="M36" s="95"/>
      <c r="N36" s="95"/>
      <c r="O36" s="96"/>
      <c r="P36" s="96"/>
      <c r="Q36" s="158"/>
      <c r="R36" s="150">
        <v>1</v>
      </c>
    </row>
    <row r="37" spans="1:20" ht="46.2" customHeight="1" x14ac:dyDescent="0.3">
      <c r="A37" s="95">
        <f>IF(HLOOKUP(choix_couv,$K$1:$P$39,ROW(),FALSE)="x",LARGE($A$2:$A36,1)+1,"")</f>
        <v>5</v>
      </c>
      <c r="B37" s="763"/>
      <c r="C37" s="171"/>
      <c r="D37" s="115"/>
      <c r="E37" s="47"/>
      <c r="F37" s="47"/>
      <c r="G37" s="174">
        <v>380057</v>
      </c>
      <c r="H37" s="140"/>
      <c r="I37" s="48" t="s">
        <v>444</v>
      </c>
      <c r="J37" s="502">
        <f>IF(Comp_calep=TRUE,nb_ligne*nb_colonne,)</f>
        <v>12</v>
      </c>
      <c r="K37" s="108" t="s">
        <v>19</v>
      </c>
      <c r="L37" s="95" t="s">
        <v>19</v>
      </c>
      <c r="M37" s="95" t="s">
        <v>19</v>
      </c>
      <c r="N37" s="95" t="s">
        <v>19</v>
      </c>
      <c r="O37" s="96" t="s">
        <v>19</v>
      </c>
      <c r="P37" s="96" t="s">
        <v>19</v>
      </c>
      <c r="Q37" s="14"/>
      <c r="R37" s="150"/>
    </row>
    <row r="38" spans="1:20" ht="46.2" customHeight="1" x14ac:dyDescent="0.3">
      <c r="A38" s="95">
        <f>IF(HLOOKUP(choix_couv,$K$1:$P$39,ROW(),FALSE)="x",LARGE($A$2:$A37,1)+1,"")</f>
        <v>6</v>
      </c>
      <c r="B38" s="763"/>
      <c r="C38" s="171"/>
      <c r="D38" s="115"/>
      <c r="E38" s="47"/>
      <c r="F38" s="47"/>
      <c r="G38" s="174">
        <v>380105</v>
      </c>
      <c r="H38" s="140"/>
      <c r="I38" s="48" t="s">
        <v>445</v>
      </c>
      <c r="J38" s="502">
        <f>IF(Comp_calep=TRUE,nb_ligne*nb_colonne,)</f>
        <v>12</v>
      </c>
      <c r="K38" s="108" t="s">
        <v>19</v>
      </c>
      <c r="L38" s="95" t="s">
        <v>19</v>
      </c>
      <c r="M38" s="95" t="s">
        <v>19</v>
      </c>
      <c r="N38" s="95" t="s">
        <v>19</v>
      </c>
      <c r="O38" s="96" t="s">
        <v>19</v>
      </c>
      <c r="P38" s="96" t="s">
        <v>19</v>
      </c>
      <c r="Q38" s="14"/>
      <c r="R38" s="150"/>
    </row>
    <row r="39" spans="1:20" ht="46.2" customHeight="1" x14ac:dyDescent="0.3">
      <c r="A39" s="95">
        <f>IF(HLOOKUP(choix_couv,$K$1:$P$39,ROW(),FALSE)="x",LARGE($A$2:$A38,1)+1,"")</f>
        <v>7</v>
      </c>
      <c r="B39" s="764"/>
      <c r="C39" s="172"/>
      <c r="D39" s="117"/>
      <c r="E39" s="177"/>
      <c r="F39" s="177"/>
      <c r="G39" s="178" t="s">
        <v>136</v>
      </c>
      <c r="H39" s="553"/>
      <c r="I39" s="179" t="s">
        <v>131</v>
      </c>
      <c r="J39" s="555">
        <f>IF(Comp_calep=TRUE,ROUNDUP(nb_ligne*nb_colonne/(HLOOKUP(Micro,Micro_fact,2,FALSE)),0)*HLOOKUP(Micro,Micro_fact,3,FALSE),)</f>
        <v>12</v>
      </c>
      <c r="K39" s="109" t="str">
        <f>IF(Micro=Données!$G$7,"","x")</f>
        <v>x</v>
      </c>
      <c r="L39" s="100" t="str">
        <f>IF(Micro=Données!$G$7,"","x")</f>
        <v>x</v>
      </c>
      <c r="M39" s="100" t="str">
        <f>IF(Micro=Données!$G$7,"","x")</f>
        <v>x</v>
      </c>
      <c r="N39" s="100" t="str">
        <f>IF(Micro=Données!$G$7,"","x")</f>
        <v>x</v>
      </c>
      <c r="O39" s="101" t="str">
        <f>IF(Micro=Données!$G$7,"","x")</f>
        <v>x</v>
      </c>
      <c r="P39" s="101" t="str">
        <f>IF(Micro=Données!$G$7,"","x")</f>
        <v>x</v>
      </c>
      <c r="Q39" s="165"/>
      <c r="R39" s="160">
        <v>1.5</v>
      </c>
    </row>
    <row r="40" spans="1:20" s="545" customFormat="1" x14ac:dyDescent="0.3">
      <c r="D40" s="431"/>
      <c r="G40" s="546" t="s">
        <v>104</v>
      </c>
      <c r="H40" s="546"/>
    </row>
    <row r="41" spans="1:20" x14ac:dyDescent="0.3">
      <c r="E41" t="str">
        <f>_xlfn.CONCAT("Rail",Long_rail,choix_coul)</f>
        <v>Rail0,385Black</v>
      </c>
    </row>
    <row r="42" spans="1:20" x14ac:dyDescent="0.3">
      <c r="E42" t="str">
        <f>_xlfn.CONCAT(C16,choix_coul)</f>
        <v>BouchonBlack</v>
      </c>
    </row>
    <row r="43" spans="1:20" x14ac:dyDescent="0.3">
      <c r="E43" t="str">
        <f>_xlfn.CONCAT($C$19,choix_coul)</f>
        <v>BrideBlack</v>
      </c>
    </row>
    <row r="44" spans="1:20" x14ac:dyDescent="0.3">
      <c r="E44" t="str">
        <f>_xlfn.CONCAT("ISYRAIL",Long_rail)</f>
        <v>ISYRAIL0,385</v>
      </c>
    </row>
  </sheetData>
  <sheetProtection selectLockedCells="1"/>
  <mergeCells count="4">
    <mergeCell ref="B25:B33"/>
    <mergeCell ref="B3:B18"/>
    <mergeCell ref="B34:B39"/>
    <mergeCell ref="B19:B24"/>
  </mergeCells>
  <pageMargins left="0.7" right="0.7" top="0.75" bottom="0.75" header="0.3" footer="0.3"/>
  <pageSetup paperSize="9" orientation="portrait" horizontalDpi="4294967293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C8A91-55A6-44E5-9E34-47B2A4A554D7}">
  <sheetPr codeName="Sheet3"/>
  <dimension ref="B2:P16"/>
  <sheetViews>
    <sheetView workbookViewId="0">
      <selection activeCell="F69" sqref="F69"/>
    </sheetView>
  </sheetViews>
  <sheetFormatPr baseColWidth="10" defaultColWidth="11.5546875" defaultRowHeight="14.4" x14ac:dyDescent="0.3"/>
  <cols>
    <col min="3" max="3" width="35.88671875" customWidth="1"/>
    <col min="6" max="6" width="12.88671875" bestFit="1" customWidth="1"/>
    <col min="9" max="9" width="13.88671875" bestFit="1" customWidth="1"/>
    <col min="10" max="10" width="11.109375" bestFit="1" customWidth="1"/>
    <col min="14" max="14" width="13" bestFit="1" customWidth="1"/>
  </cols>
  <sheetData>
    <row r="2" spans="2:16" ht="20.399999999999999" thickBot="1" x14ac:dyDescent="0.45">
      <c r="B2" s="367" t="s">
        <v>68</v>
      </c>
    </row>
    <row r="3" spans="2:16" ht="15" thickTop="1" x14ac:dyDescent="0.3">
      <c r="C3" s="23" t="s">
        <v>260</v>
      </c>
      <c r="D3">
        <v>25</v>
      </c>
      <c r="E3" t="s">
        <v>261</v>
      </c>
      <c r="J3" s="757" t="s">
        <v>258</v>
      </c>
      <c r="K3" s="771"/>
      <c r="L3" s="758"/>
      <c r="M3" s="166" t="s">
        <v>333</v>
      </c>
      <c r="P3">
        <f>K5/2546</f>
        <v>1.1788828901425903</v>
      </c>
    </row>
    <row r="4" spans="2:16" x14ac:dyDescent="0.3">
      <c r="C4" s="23" t="s">
        <v>259</v>
      </c>
      <c r="D4">
        <v>81483.600000000006</v>
      </c>
      <c r="E4" t="s">
        <v>262</v>
      </c>
      <c r="H4" s="18" t="s">
        <v>256</v>
      </c>
      <c r="I4" s="103" t="s">
        <v>257</v>
      </c>
      <c r="J4" s="18" t="s">
        <v>332</v>
      </c>
      <c r="K4" s="103" t="s">
        <v>336</v>
      </c>
      <c r="L4" s="106" t="s">
        <v>337</v>
      </c>
      <c r="M4" s="1" t="s">
        <v>358</v>
      </c>
      <c r="N4" s="1" t="s">
        <v>357</v>
      </c>
    </row>
    <row r="5" spans="2:16" x14ac:dyDescent="0.3">
      <c r="C5" s="23" t="s">
        <v>338</v>
      </c>
      <c r="D5">
        <v>69500</v>
      </c>
      <c r="G5" s="768" t="s">
        <v>334</v>
      </c>
      <c r="H5" s="356">
        <v>1000</v>
      </c>
      <c r="I5" s="353">
        <v>4465</v>
      </c>
      <c r="J5" s="359">
        <f>RAIL_cont_max*RAIL_Inertia*4/RAIL_fibre/$H5</f>
        <v>2998.5964800000002</v>
      </c>
      <c r="K5" s="351">
        <f>J5/mod_haut*2/mod_larg*1000000</f>
        <v>3001.4358383030349</v>
      </c>
      <c r="L5" s="360">
        <f>K5/RAIL_Sécu</f>
        <v>3001.4358383030349</v>
      </c>
      <c r="M5" s="378">
        <f>$J5*$H5^3/(48*$D$4*$D$5)</f>
        <v>11.031175059952037</v>
      </c>
      <c r="N5" s="378">
        <f>$J5*$H5^2*(PaF_max)/(16*$D$5*RAIL_Inertia)</f>
        <v>9.928057553956835</v>
      </c>
      <c r="O5" s="383">
        <f>I5/J5</f>
        <v>1.489029961110339</v>
      </c>
      <c r="P5" s="278" t="str">
        <f>"1/"&amp;H5/M5</f>
        <v>1/90,6521739130435</v>
      </c>
    </row>
    <row r="6" spans="2:16" x14ac:dyDescent="0.3">
      <c r="C6" s="23" t="s">
        <v>330</v>
      </c>
      <c r="D6">
        <v>230</v>
      </c>
      <c r="E6" t="s">
        <v>263</v>
      </c>
      <c r="G6" s="769"/>
      <c r="H6" s="357">
        <v>1300</v>
      </c>
      <c r="I6" s="354">
        <v>3262</v>
      </c>
      <c r="J6" s="361">
        <f>$D$6*$D$4*4/$D$3/$H6</f>
        <v>2306.6126769230768</v>
      </c>
      <c r="K6" s="279">
        <f>J6/mod_haut*2/mod_larg*1000000</f>
        <v>2308.7967986946423</v>
      </c>
      <c r="L6" s="362">
        <f>K6/RAIL_Sécu</f>
        <v>2308.7967986946423</v>
      </c>
      <c r="M6" s="381">
        <f>$J6*$H6^3/(48*$D$4*$D$5)</f>
        <v>18.642685851318944</v>
      </c>
      <c r="N6" s="381">
        <f>$J6*$H6^2*(PaF_max)/(16*$D$5*RAIL_Inertia)</f>
        <v>12.906474820143885</v>
      </c>
      <c r="O6" s="384">
        <f t="shared" ref="O6:O7" si="0">I6/J6</f>
        <v>1.4141949502988813</v>
      </c>
      <c r="P6" s="278" t="str">
        <f t="shared" ref="P6:P8" si="1">"1/"&amp;H6/M6</f>
        <v>1/69,7324414715719</v>
      </c>
    </row>
    <row r="7" spans="2:16" x14ac:dyDescent="0.3">
      <c r="C7" s="23" t="s">
        <v>264</v>
      </c>
      <c r="D7">
        <v>1</v>
      </c>
      <c r="G7" s="770"/>
      <c r="H7" s="358">
        <v>1500</v>
      </c>
      <c r="I7" s="355">
        <v>2517</v>
      </c>
      <c r="J7" s="363">
        <f>$D$6*$D$4*4/$D$3/$H7</f>
        <v>1999.06432</v>
      </c>
      <c r="K7" s="352">
        <f>J7/mod_haut*2/mod_larg*1000000</f>
        <v>2000.9572255353567</v>
      </c>
      <c r="L7" s="364">
        <f>K7/RAIL_Sécu</f>
        <v>2000.9572255353567</v>
      </c>
      <c r="M7" s="380">
        <f>$J7*$H7^3/(48*$D$4*$D$5)</f>
        <v>24.820143884892083</v>
      </c>
      <c r="N7" s="380">
        <f>$J7*$H7^2*(PaF_max)/(16*$D$5*RAIL_Inertia)</f>
        <v>14.892086330935252</v>
      </c>
      <c r="O7" s="385">
        <f t="shared" si="0"/>
        <v>1.2590890522221916</v>
      </c>
      <c r="P7" s="278" t="str">
        <f t="shared" si="1"/>
        <v>1/60,4347826086957</v>
      </c>
    </row>
    <row r="8" spans="2:16" x14ac:dyDescent="0.3">
      <c r="C8" s="23"/>
      <c r="G8" s="39" t="s">
        <v>335</v>
      </c>
      <c r="H8" s="1">
        <f>ROUNDDOWN(entr_croch_max/Entr_chev,0)*Entr_chev</f>
        <v>1800</v>
      </c>
      <c r="I8" s="365"/>
      <c r="J8" s="366">
        <f>$D$6*$D$4*4/$D$3/$H8</f>
        <v>1665.8869333333332</v>
      </c>
      <c r="K8" s="352">
        <f>J8/mod_haut*2/mod_larg*1000000</f>
        <v>1667.464354612797</v>
      </c>
      <c r="L8" s="364">
        <f>K8/RAIL_Sécu</f>
        <v>1667.464354612797</v>
      </c>
      <c r="M8" s="379">
        <f>$J8*$H8^3/(48*$D$4*$D$5)</f>
        <v>35.741007194244602</v>
      </c>
      <c r="N8" s="382">
        <f>$J8*$H8^2*(PaF_max)/(16*$D$5*RAIL_Inertia)</f>
        <v>17.870503597122301</v>
      </c>
      <c r="O8" s="386"/>
      <c r="P8" s="278" t="str">
        <f t="shared" si="1"/>
        <v>1/50,3623188405797</v>
      </c>
    </row>
    <row r="9" spans="2:16" x14ac:dyDescent="0.3">
      <c r="C9" s="23"/>
    </row>
    <row r="12" spans="2:16" ht="20.399999999999999" thickBot="1" x14ac:dyDescent="0.45">
      <c r="B12" s="367" t="s">
        <v>247</v>
      </c>
    </row>
    <row r="13" spans="2:16" ht="16.2" thickTop="1" x14ac:dyDescent="0.3">
      <c r="D13" s="18" t="s">
        <v>253</v>
      </c>
      <c r="E13" s="247" t="s">
        <v>539</v>
      </c>
    </row>
    <row r="14" spans="2:16" x14ac:dyDescent="0.3">
      <c r="B14" t="str">
        <f>Logistique!G2</f>
        <v>n° Article</v>
      </c>
      <c r="C14" t="str">
        <f>Logistique!I2</f>
        <v xml:space="preserve">Description </v>
      </c>
      <c r="D14" s="45" t="s">
        <v>536</v>
      </c>
      <c r="E14" s="45" t="s">
        <v>535</v>
      </c>
    </row>
    <row r="15" spans="2:16" x14ac:dyDescent="0.3">
      <c r="B15" s="23" t="str">
        <f>Logistique!G34</f>
        <v>380015 V3</v>
      </c>
      <c r="C15" s="505" t="str">
        <f>Logistique!I34</f>
        <v>Vis à bois tête hexa 6,3*80 (100p) - ISY-PV</v>
      </c>
      <c r="D15" s="724">
        <v>4439</v>
      </c>
      <c r="E15" s="724">
        <v>5078</v>
      </c>
    </row>
    <row r="16" spans="2:16" x14ac:dyDescent="0.3">
      <c r="B16" s="23">
        <f>Logistique!G35</f>
        <v>380998</v>
      </c>
      <c r="C16" s="505" t="str">
        <f>Logistique!I35</f>
        <v>Vis à bois tête disque 6*80 (100p) - ISY-PV</v>
      </c>
      <c r="D16" s="724">
        <v>4294</v>
      </c>
      <c r="E16" s="724">
        <v>4912</v>
      </c>
    </row>
  </sheetData>
  <mergeCells count="2">
    <mergeCell ref="G5:G7"/>
    <mergeCell ref="J3:L3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5FCD7-C92B-41E9-A638-0F9240CE91E0}">
  <sheetPr codeName="Sheet4"/>
  <dimension ref="A1:AQ91"/>
  <sheetViews>
    <sheetView zoomScale="85" zoomScaleNormal="85" workbookViewId="0">
      <selection activeCell="F69" sqref="F69"/>
    </sheetView>
  </sheetViews>
  <sheetFormatPr baseColWidth="10" defaultColWidth="11.44140625" defaultRowHeight="14.4" x14ac:dyDescent="0.3"/>
  <cols>
    <col min="2" max="2" width="13.109375" bestFit="1" customWidth="1"/>
    <col min="5" max="5" width="12" bestFit="1" customWidth="1"/>
    <col min="6" max="8" width="11.5546875" customWidth="1"/>
    <col min="9" max="9" width="12.44140625" bestFit="1" customWidth="1"/>
    <col min="10" max="10" width="13.33203125" bestFit="1" customWidth="1"/>
    <col min="11" max="13" width="12.44140625" bestFit="1" customWidth="1"/>
    <col min="14" max="14" width="11.5546875" bestFit="1" customWidth="1"/>
    <col min="15" max="16" width="12.44140625" bestFit="1" customWidth="1"/>
    <col min="17" max="17" width="15.109375" customWidth="1"/>
    <col min="18" max="18" width="12.88671875" customWidth="1"/>
    <col min="19" max="19" width="13" bestFit="1" customWidth="1"/>
    <col min="20" max="24" width="5.33203125" customWidth="1"/>
    <col min="25" max="32" width="5.88671875" customWidth="1"/>
    <col min="33" max="33" width="13" bestFit="1" customWidth="1"/>
    <col min="34" max="43" width="5.5546875" customWidth="1"/>
    <col min="44" max="48" width="5.88671875" customWidth="1"/>
  </cols>
  <sheetData>
    <row r="1" spans="2:20" ht="18" x14ac:dyDescent="0.35">
      <c r="B1" t="s">
        <v>163</v>
      </c>
      <c r="C1" s="45" t="s">
        <v>164</v>
      </c>
      <c r="E1" t="s">
        <v>155</v>
      </c>
      <c r="Q1" s="807" t="s">
        <v>268</v>
      </c>
      <c r="R1" s="807"/>
      <c r="S1" s="807"/>
    </row>
    <row r="2" spans="2:20" x14ac:dyDescent="0.3">
      <c r="B2" t="s">
        <v>165</v>
      </c>
      <c r="C2" s="45" t="s">
        <v>166</v>
      </c>
      <c r="E2" t="s">
        <v>156</v>
      </c>
      <c r="R2" s="23" t="s">
        <v>167</v>
      </c>
      <c r="S2">
        <v>3</v>
      </c>
      <c r="T2" t="s">
        <v>168</v>
      </c>
    </row>
    <row r="3" spans="2:20" x14ac:dyDescent="0.3">
      <c r="E3" t="s">
        <v>157</v>
      </c>
      <c r="R3" s="23" t="s">
        <v>169</v>
      </c>
      <c r="S3">
        <v>3</v>
      </c>
      <c r="T3" t="s">
        <v>168</v>
      </c>
    </row>
    <row r="4" spans="2:20" x14ac:dyDescent="0.3">
      <c r="R4" s="23" t="s">
        <v>170</v>
      </c>
      <c r="S4">
        <v>5</v>
      </c>
      <c r="T4" t="s">
        <v>168</v>
      </c>
    </row>
    <row r="5" spans="2:20" ht="16.2" thickBot="1" x14ac:dyDescent="0.35">
      <c r="L5" s="200" t="s">
        <v>171</v>
      </c>
      <c r="M5" s="23" t="str">
        <f>Choix_forme</f>
        <v>Bipan</v>
      </c>
      <c r="R5" s="23"/>
    </row>
    <row r="6" spans="2:20" ht="15.6" x14ac:dyDescent="0.3">
      <c r="B6" s="201"/>
      <c r="C6" s="808" t="s">
        <v>172</v>
      </c>
      <c r="D6" s="809"/>
      <c r="E6" s="809"/>
      <c r="F6" s="809"/>
      <c r="G6" s="808" t="s">
        <v>173</v>
      </c>
      <c r="H6" s="809"/>
      <c r="I6" s="809"/>
      <c r="J6" s="810"/>
      <c r="L6" s="200" t="s">
        <v>174</v>
      </c>
      <c r="M6" s="23">
        <f>pente</f>
        <v>20</v>
      </c>
      <c r="N6" t="s">
        <v>175</v>
      </c>
      <c r="R6" s="23"/>
    </row>
    <row r="7" spans="2:20" ht="16.2" thickBot="1" x14ac:dyDescent="0.35">
      <c r="B7" s="202" t="s">
        <v>176</v>
      </c>
      <c r="C7" s="203">
        <v>1</v>
      </c>
      <c r="D7" s="204">
        <v>2</v>
      </c>
      <c r="E7" s="204">
        <v>3</v>
      </c>
      <c r="F7" s="205">
        <v>4</v>
      </c>
      <c r="G7" s="206" t="s">
        <v>177</v>
      </c>
      <c r="H7" s="207" t="s">
        <v>178</v>
      </c>
      <c r="I7" s="207" t="s">
        <v>179</v>
      </c>
      <c r="J7" s="208" t="s">
        <v>180</v>
      </c>
      <c r="L7" s="200" t="s">
        <v>181</v>
      </c>
      <c r="M7" s="23">
        <f>choix_impl</f>
        <v>1</v>
      </c>
      <c r="R7" s="23"/>
    </row>
    <row r="8" spans="2:20" ht="16.8" thickTop="1" thickBot="1" x14ac:dyDescent="0.35">
      <c r="B8" s="209" t="s">
        <v>182</v>
      </c>
      <c r="C8" s="210">
        <v>22</v>
      </c>
      <c r="D8" s="211">
        <v>24</v>
      </c>
      <c r="E8" s="211">
        <v>26</v>
      </c>
      <c r="F8" s="212">
        <v>28</v>
      </c>
      <c r="G8" s="213">
        <v>36</v>
      </c>
      <c r="H8" s="211">
        <v>17</v>
      </c>
      <c r="I8" s="211">
        <v>32</v>
      </c>
      <c r="J8" s="214">
        <v>34</v>
      </c>
      <c r="L8" s="200" t="s">
        <v>183</v>
      </c>
      <c r="M8" s="606">
        <f>O8</f>
        <v>1.998108</v>
      </c>
      <c r="N8" t="s">
        <v>184</v>
      </c>
      <c r="O8" s="23">
        <f>mod_haut*mod_larg*10^-6</f>
        <v>1.998108</v>
      </c>
      <c r="R8" s="23"/>
    </row>
    <row r="9" spans="2:20" ht="15.6" x14ac:dyDescent="0.3">
      <c r="L9" s="200" t="s">
        <v>485</v>
      </c>
      <c r="M9" s="268">
        <f>O9</f>
        <v>10</v>
      </c>
      <c r="N9" t="s">
        <v>184</v>
      </c>
      <c r="O9" s="23">
        <f>MIN(10,mod_haut*mod_larg*10^-6*nb_ligne*nb_colonne)</f>
        <v>10</v>
      </c>
      <c r="R9" s="23" t="s">
        <v>185</v>
      </c>
      <c r="S9">
        <v>3</v>
      </c>
      <c r="T9" t="s">
        <v>184</v>
      </c>
    </row>
    <row r="10" spans="2:20" ht="28.8" x14ac:dyDescent="0.3">
      <c r="B10" s="247" t="s">
        <v>207</v>
      </c>
      <c r="C10" s="263">
        <v>0</v>
      </c>
      <c r="D10" s="2" t="s">
        <v>208</v>
      </c>
      <c r="E10" s="2" t="s">
        <v>209</v>
      </c>
      <c r="F10" s="2" t="s">
        <v>210</v>
      </c>
      <c r="G10" s="2" t="s">
        <v>211</v>
      </c>
      <c r="J10" s="458" t="s">
        <v>226</v>
      </c>
      <c r="K10" s="264">
        <f>choix_vent</f>
        <v>3</v>
      </c>
      <c r="L10" s="264"/>
    </row>
    <row r="11" spans="2:20" ht="14.4" customHeight="1" x14ac:dyDescent="0.3">
      <c r="B11" s="2" t="s">
        <v>212</v>
      </c>
      <c r="C11" s="2">
        <v>5.0000000000000001E-3</v>
      </c>
      <c r="D11" s="2">
        <v>0.05</v>
      </c>
      <c r="E11" s="2">
        <v>0.2</v>
      </c>
      <c r="F11" s="2">
        <v>0.5</v>
      </c>
      <c r="G11" s="2">
        <v>1</v>
      </c>
      <c r="J11" s="458" t="s">
        <v>386</v>
      </c>
      <c r="K11" s="264" t="str">
        <f>choix_cat</f>
        <v>IIIa</v>
      </c>
      <c r="L11" s="264"/>
    </row>
    <row r="12" spans="2:20" ht="18" customHeight="1" x14ac:dyDescent="0.3">
      <c r="B12" s="2" t="s">
        <v>213</v>
      </c>
      <c r="C12" s="2">
        <v>1</v>
      </c>
      <c r="D12" s="2">
        <v>2</v>
      </c>
      <c r="E12" s="2">
        <v>5</v>
      </c>
      <c r="F12" s="2">
        <v>9</v>
      </c>
      <c r="G12" s="2">
        <v>15</v>
      </c>
      <c r="J12" s="458" t="s">
        <v>387</v>
      </c>
      <c r="K12" s="264">
        <f>haut_bat</f>
        <v>8</v>
      </c>
      <c r="L12" s="264" t="s">
        <v>168</v>
      </c>
    </row>
    <row r="13" spans="2:20" ht="18" customHeight="1" x14ac:dyDescent="0.3">
      <c r="B13" s="14"/>
      <c r="C13" s="14"/>
      <c r="D13" s="14"/>
      <c r="E13" s="14"/>
      <c r="F13" s="14"/>
      <c r="G13" s="14"/>
      <c r="J13" s="264"/>
      <c r="K13" s="264"/>
      <c r="L13" s="264"/>
    </row>
    <row r="14" spans="2:20" x14ac:dyDescent="0.3">
      <c r="B14" s="215" t="s">
        <v>186</v>
      </c>
    </row>
    <row r="15" spans="2:20" ht="18" x14ac:dyDescent="0.35">
      <c r="Q15" s="200"/>
      <c r="R15" s="253"/>
    </row>
    <row r="16" spans="2:20" ht="18" x14ac:dyDescent="0.35">
      <c r="Q16" s="200"/>
      <c r="R16" s="253"/>
    </row>
    <row r="18" spans="1:43" ht="18" x14ac:dyDescent="0.4">
      <c r="C18" s="248" t="s">
        <v>214</v>
      </c>
      <c r="D18" s="249" t="s">
        <v>215</v>
      </c>
    </row>
    <row r="19" spans="1:43" ht="15" thickBot="1" x14ac:dyDescent="0.35"/>
    <row r="20" spans="1:43" ht="20.399999999999999" x14ac:dyDescent="0.45">
      <c r="C20" s="250"/>
      <c r="D20" s="251" t="s">
        <v>216</v>
      </c>
      <c r="E20" s="252" t="str">
        <f>choix_cat</f>
        <v>IIIa</v>
      </c>
      <c r="G20" t="s">
        <v>227</v>
      </c>
      <c r="H20">
        <f>E24*LN(MAX(E21,E23)/E22)</f>
        <v>0.77231107704465041</v>
      </c>
      <c r="J20" s="254" t="s">
        <v>217</v>
      </c>
      <c r="K20" s="266">
        <f>1-(0.0002*POWER(LOG10(E22)+3,6))</f>
        <v>0.97031318021797408</v>
      </c>
      <c r="M20" s="23" t="s">
        <v>228</v>
      </c>
      <c r="N20" s="267">
        <f>K20/(1*LN(IF(haut_bat&lt;=200,MAX(E21,E23),NA())/E22))</f>
        <v>0.26303737823036072</v>
      </c>
    </row>
    <row r="21" spans="1:43" ht="18" x14ac:dyDescent="0.35">
      <c r="C21" s="255"/>
      <c r="D21" s="256" t="s">
        <v>218</v>
      </c>
      <c r="E21" s="257">
        <f>haut_bat</f>
        <v>8</v>
      </c>
      <c r="F21" t="s">
        <v>168</v>
      </c>
      <c r="G21" t="s">
        <v>229</v>
      </c>
      <c r="H21">
        <f>H20*HLOOKUP(choix_vent,Vent_Vb0,2,FALSE)</f>
        <v>20.08008800316091</v>
      </c>
      <c r="I21" t="s">
        <v>230</v>
      </c>
      <c r="J21" s="265" t="s">
        <v>231</v>
      </c>
      <c r="K21" s="258">
        <v>1.2250000000000001</v>
      </c>
      <c r="M21" s="23" t="s">
        <v>237</v>
      </c>
      <c r="N21">
        <f>H20^2*1*(1+7*N20)</f>
        <v>1.6947114231073352</v>
      </c>
    </row>
    <row r="22" spans="1:43" ht="20.399999999999999" x14ac:dyDescent="0.45">
      <c r="C22" s="255"/>
      <c r="D22" s="256" t="s">
        <v>219</v>
      </c>
      <c r="E22" s="257">
        <f>HLOOKUP(E20,Cr_Z,2,0)</f>
        <v>0.2</v>
      </c>
      <c r="F22" t="s">
        <v>168</v>
      </c>
      <c r="G22" t="s">
        <v>236</v>
      </c>
      <c r="H22" s="268">
        <f>0.5*K21*HLOOKUP(choix_vent,Vent_Vb0,2,FALSE)^2</f>
        <v>414.05</v>
      </c>
      <c r="I22" t="s">
        <v>233</v>
      </c>
      <c r="J22" s="254"/>
      <c r="K22" s="258"/>
      <c r="L22" s="350" t="s">
        <v>326</v>
      </c>
      <c r="M22" s="23" t="s">
        <v>232</v>
      </c>
      <c r="N22">
        <f>N21*H22</f>
        <v>701.6952647375922</v>
      </c>
      <c r="O22" t="s">
        <v>233</v>
      </c>
      <c r="P22" t="s">
        <v>328</v>
      </c>
    </row>
    <row r="23" spans="1:43" ht="20.399999999999999" x14ac:dyDescent="0.45">
      <c r="C23" s="255"/>
      <c r="D23" s="256" t="s">
        <v>220</v>
      </c>
      <c r="E23" s="257">
        <f>HLOOKUP(E20,Cr_Z,3,0)</f>
        <v>5</v>
      </c>
      <c r="F23" t="s">
        <v>168</v>
      </c>
      <c r="J23" s="254"/>
      <c r="K23" s="258"/>
      <c r="L23" s="350" t="s">
        <v>327</v>
      </c>
      <c r="M23" s="23" t="s">
        <v>232</v>
      </c>
      <c r="N23">
        <f>(1+7*N20)*0.5*K21*H21^2</f>
        <v>701.69526473759208</v>
      </c>
      <c r="O23" t="s">
        <v>233</v>
      </c>
    </row>
    <row r="24" spans="1:43" ht="21" thickBot="1" x14ac:dyDescent="0.5">
      <c r="C24" s="259"/>
      <c r="D24" s="260" t="s">
        <v>221</v>
      </c>
      <c r="E24" s="261">
        <f>0.19*POWER(E22/D11,0.07)</f>
        <v>0.20936197201655604</v>
      </c>
      <c r="N24">
        <f>SQRT(N23*2/K21)</f>
        <v>33.84708144021517</v>
      </c>
    </row>
    <row r="25" spans="1:43" x14ac:dyDescent="0.3">
      <c r="N25">
        <f>N24*3.6</f>
        <v>121.84949318477462</v>
      </c>
    </row>
    <row r="26" spans="1:43" ht="18" thickBot="1" x14ac:dyDescent="0.4">
      <c r="A26" s="408" t="s">
        <v>483</v>
      </c>
      <c r="B26" s="408"/>
    </row>
    <row r="27" spans="1:43" ht="15" thickTop="1" x14ac:dyDescent="0.3"/>
    <row r="28" spans="1:43" ht="18" x14ac:dyDescent="0.35">
      <c r="B28" s="793" t="str">
        <f>$C$1</f>
        <v>Monopan</v>
      </c>
      <c r="C28" s="793"/>
      <c r="D28" s="793"/>
      <c r="E28" s="793"/>
      <c r="F28" s="793"/>
      <c r="G28" s="793"/>
      <c r="H28" s="793"/>
      <c r="J28" s="800" t="str">
        <f>$C$2</f>
        <v>Bipan</v>
      </c>
      <c r="K28" s="800"/>
      <c r="L28" s="800"/>
      <c r="M28" s="800"/>
      <c r="N28" s="800"/>
      <c r="O28" s="800"/>
      <c r="Q28" s="43"/>
      <c r="S28" s="793" t="s">
        <v>187</v>
      </c>
      <c r="T28" s="793"/>
      <c r="U28" s="793"/>
      <c r="V28" s="793"/>
      <c r="W28" s="793"/>
      <c r="X28" s="793"/>
      <c r="Y28" s="793"/>
      <c r="Z28" s="793"/>
      <c r="AA28" s="793"/>
      <c r="AB28" s="793"/>
      <c r="AC28" s="793"/>
      <c r="AD28" s="793"/>
      <c r="AE28" s="793"/>
      <c r="AG28" s="800" t="s">
        <v>188</v>
      </c>
      <c r="AH28" s="800"/>
      <c r="AI28" s="800"/>
      <c r="AJ28" s="800"/>
      <c r="AK28" s="800"/>
      <c r="AL28" s="800"/>
      <c r="AM28" s="800"/>
      <c r="AN28" s="800"/>
      <c r="AO28" s="800"/>
      <c r="AP28" s="800"/>
      <c r="AQ28" s="800"/>
    </row>
    <row r="30" spans="1:43" ht="18" customHeight="1" x14ac:dyDescent="0.4">
      <c r="B30" s="801" t="s">
        <v>189</v>
      </c>
      <c r="C30" s="801"/>
      <c r="D30" s="801"/>
      <c r="E30" s="801"/>
      <c r="F30" s="801"/>
      <c r="G30" s="801"/>
      <c r="H30" s="801"/>
      <c r="J30" s="802" t="s">
        <v>190</v>
      </c>
      <c r="K30" s="803"/>
      <c r="L30" s="803"/>
      <c r="M30" s="803"/>
      <c r="N30" s="803"/>
      <c r="O30" s="804"/>
      <c r="Q30" s="48"/>
      <c r="S30" s="773" t="s">
        <v>189</v>
      </c>
      <c r="T30" s="773"/>
      <c r="U30" s="773"/>
      <c r="V30" s="773"/>
      <c r="W30" s="773"/>
      <c r="X30" s="773"/>
      <c r="Y30" s="773"/>
      <c r="Z30" s="773"/>
      <c r="AA30" s="773"/>
      <c r="AB30" s="773"/>
      <c r="AC30" s="773"/>
      <c r="AD30" s="773"/>
      <c r="AE30" s="773"/>
      <c r="AG30" s="772" t="s">
        <v>192</v>
      </c>
      <c r="AH30" s="772"/>
      <c r="AI30" s="772"/>
      <c r="AJ30" s="772"/>
      <c r="AK30" s="772"/>
      <c r="AL30" s="772"/>
      <c r="AM30" s="772"/>
      <c r="AN30" s="772"/>
      <c r="AO30" s="772"/>
      <c r="AP30" s="772"/>
      <c r="AQ30" s="772"/>
    </row>
    <row r="31" spans="1:43" ht="16.2" customHeight="1" thickBot="1" x14ac:dyDescent="0.35">
      <c r="B31" s="773" t="s">
        <v>191</v>
      </c>
      <c r="C31" s="773" t="s">
        <v>193</v>
      </c>
      <c r="D31" s="773"/>
      <c r="E31" s="773"/>
      <c r="F31" s="773" t="s">
        <v>194</v>
      </c>
      <c r="G31" s="773"/>
      <c r="H31" s="773"/>
      <c r="J31" s="772" t="s">
        <v>191</v>
      </c>
      <c r="K31" s="778" t="s">
        <v>193</v>
      </c>
      <c r="L31" s="792"/>
      <c r="M31" s="792"/>
      <c r="N31" s="792"/>
      <c r="O31" s="779"/>
      <c r="Q31" s="243"/>
      <c r="S31" s="785" t="s">
        <v>191</v>
      </c>
      <c r="T31" s="785" t="s">
        <v>193</v>
      </c>
      <c r="U31" s="785"/>
      <c r="V31" s="785"/>
      <c r="W31" s="785"/>
      <c r="X31" s="785"/>
      <c r="Y31" s="785"/>
      <c r="Z31" s="785" t="s">
        <v>194</v>
      </c>
      <c r="AA31" s="785"/>
      <c r="AB31" s="785"/>
      <c r="AC31" s="785"/>
      <c r="AD31" s="785"/>
      <c r="AE31" s="785"/>
      <c r="AG31" s="790" t="s">
        <v>191</v>
      </c>
      <c r="AH31" s="778" t="s">
        <v>193</v>
      </c>
      <c r="AI31" s="792"/>
      <c r="AJ31" s="792"/>
      <c r="AK31" s="792"/>
      <c r="AL31" s="792"/>
      <c r="AM31" s="792"/>
      <c r="AN31" s="792"/>
      <c r="AO31" s="792"/>
      <c r="AP31" s="792"/>
      <c r="AQ31" s="779"/>
    </row>
    <row r="32" spans="1:43" ht="15.6" x14ac:dyDescent="0.3">
      <c r="B32" s="773"/>
      <c r="C32" s="216" t="s">
        <v>195</v>
      </c>
      <c r="D32" s="216" t="s">
        <v>196</v>
      </c>
      <c r="E32" s="216" t="s">
        <v>197</v>
      </c>
      <c r="F32" s="216" t="s">
        <v>195</v>
      </c>
      <c r="G32" s="216" t="s">
        <v>196</v>
      </c>
      <c r="H32" s="216" t="s">
        <v>197</v>
      </c>
      <c r="J32" s="772"/>
      <c r="K32" s="217" t="s">
        <v>195</v>
      </c>
      <c r="L32" s="217" t="s">
        <v>196</v>
      </c>
      <c r="M32" s="217" t="s">
        <v>197</v>
      </c>
      <c r="N32" s="217" t="s">
        <v>198</v>
      </c>
      <c r="O32" s="217" t="s">
        <v>199</v>
      </c>
      <c r="Q32" s="603"/>
      <c r="S32" s="805"/>
      <c r="T32" s="782" t="s">
        <v>195</v>
      </c>
      <c r="U32" s="783"/>
      <c r="V32" s="782" t="s">
        <v>196</v>
      </c>
      <c r="W32" s="783"/>
      <c r="X32" s="780" t="s">
        <v>197</v>
      </c>
      <c r="Y32" s="781"/>
      <c r="Z32" s="782" t="s">
        <v>195</v>
      </c>
      <c r="AA32" s="783"/>
      <c r="AB32" s="782" t="s">
        <v>196</v>
      </c>
      <c r="AC32" s="783"/>
      <c r="AD32" s="780" t="s">
        <v>197</v>
      </c>
      <c r="AE32" s="781"/>
      <c r="AG32" s="791"/>
      <c r="AH32" s="772" t="s">
        <v>195</v>
      </c>
      <c r="AI32" s="772"/>
      <c r="AJ32" s="772" t="s">
        <v>196</v>
      </c>
      <c r="AK32" s="772"/>
      <c r="AL32" s="784" t="s">
        <v>197</v>
      </c>
      <c r="AM32" s="784"/>
      <c r="AN32" s="778" t="s">
        <v>198</v>
      </c>
      <c r="AO32" s="779"/>
      <c r="AP32" s="778" t="s">
        <v>199</v>
      </c>
      <c r="AQ32" s="779"/>
    </row>
    <row r="33" spans="1:43" ht="18.600000000000001" thickBot="1" x14ac:dyDescent="0.35">
      <c r="B33" s="794">
        <v>5</v>
      </c>
      <c r="C33" s="274">
        <f t="shared" ref="C33:C42" si="0">IF(Module_Area&lt;=1,U34,IF(Module_Area&gt;=10,T34,U34-(U34-T34)*LOG10(Module_Area)))</f>
        <v>-2.2595048330936667</v>
      </c>
      <c r="D33" s="274">
        <f t="shared" ref="D33:D42" si="1">IF(Module_Area&lt;=1,W34,IF(Module_Area&gt;=10,V34,W34-(W34-V34)*LOG10(Module_Area)))</f>
        <v>-1.7595048330936665</v>
      </c>
      <c r="E33" s="274">
        <f t="shared" ref="E33:E42" si="2">IF(Module_Area&lt;=1,Y34,IF(Module_Area&gt;=10,X34,Y34-(Y34-X34)*LOG10(Module_Area)))</f>
        <v>-1.0196286248202497</v>
      </c>
      <c r="F33" s="274">
        <f t="shared" ref="F33:F42" si="3">IF(Module_Area&lt;=1,AA34,IF(Module_Area&gt;=10,Z34,AA34-(AA34-Z34)*LOG10(Module_Area)))</f>
        <v>-2.4398762082734167</v>
      </c>
      <c r="G33" s="274">
        <f t="shared" ref="G33:G42" si="4">IF(Module_Area&lt;=1,AC34,IF(Module_Area&gt;=10,AB34,AC34-(AC34-AB34)*LOG10(Module_Area)))</f>
        <v>-1.7895667289569581</v>
      </c>
      <c r="H33" s="274">
        <f t="shared" ref="H33:H42" si="5">IF(Module_Area&lt;=1,AE34,IF(Module_Area&gt;=10,AD34,AE34-(AE34-AD34)*LOG10(Module_Area)))</f>
        <v>-1.0797524165468333</v>
      </c>
      <c r="J33" s="796">
        <v>5</v>
      </c>
      <c r="K33" s="222">
        <f t="shared" ref="K33:K42" si="6">IF(Module_Area&lt;=1,AI34,IF(Module_Area&gt;=10,AH34,AI34-(AI34-AH34)*LOG10(Module_Area)))</f>
        <v>-2.2595048330936667</v>
      </c>
      <c r="L33" s="222">
        <f t="shared" ref="L33:L42" si="7">IF(Module_Area&lt;=1,AK34,IF(Module_Area&gt;=10,AJ34,AK34-(AK34-AJ34)*LOG10(Module_Area)))</f>
        <v>-1.7595048330936665</v>
      </c>
      <c r="M33" s="222">
        <f t="shared" ref="M33:M42" si="8">IF(Module_Area&lt;=1,AM34,IF(Module_Area&gt;=10,AL34,AM34-(AM34-AL34)*LOG10(Module_Area)))</f>
        <v>-1.0196286248202497</v>
      </c>
      <c r="N33" s="222">
        <f t="shared" ref="N33:N42" si="9">IF(Module_Area&lt;=1,AO34,IF(Module_Area&gt;=10,AN34,AO34-(AO34-AN34)*LOG10(Module_Area)))</f>
        <v>-0.6</v>
      </c>
      <c r="O33" s="222">
        <f t="shared" ref="O33:O42" si="10">IF(Module_Area&lt;=1,AQ34,IF(Module_Area&gt;=10,AP34,AQ34-(AQ34-AP34)*LOG10(Module_Area)))</f>
        <v>-0.6</v>
      </c>
      <c r="Q33" s="604"/>
      <c r="S33" s="805"/>
      <c r="T33" s="394" t="s">
        <v>200</v>
      </c>
      <c r="U33" s="395" t="s">
        <v>201</v>
      </c>
      <c r="V33" s="394" t="s">
        <v>200</v>
      </c>
      <c r="W33" s="395" t="s">
        <v>201</v>
      </c>
      <c r="X33" s="394" t="s">
        <v>200</v>
      </c>
      <c r="Y33" s="395" t="s">
        <v>201</v>
      </c>
      <c r="Z33" s="394" t="s">
        <v>200</v>
      </c>
      <c r="AA33" s="395" t="s">
        <v>201</v>
      </c>
      <c r="AB33" s="394" t="s">
        <v>200</v>
      </c>
      <c r="AC33" s="395" t="s">
        <v>201</v>
      </c>
      <c r="AD33" s="394" t="s">
        <v>200</v>
      </c>
      <c r="AE33" s="395" t="s">
        <v>201</v>
      </c>
      <c r="AG33" s="806"/>
      <c r="AH33" s="224" t="s">
        <v>200</v>
      </c>
      <c r="AI33" s="224" t="s">
        <v>201</v>
      </c>
      <c r="AJ33" s="224" t="s">
        <v>200</v>
      </c>
      <c r="AK33" s="224" t="s">
        <v>201</v>
      </c>
      <c r="AL33" s="224" t="s">
        <v>200</v>
      </c>
      <c r="AM33" s="224" t="s">
        <v>201</v>
      </c>
      <c r="AN33" s="225" t="s">
        <v>200</v>
      </c>
      <c r="AO33" s="225" t="s">
        <v>201</v>
      </c>
      <c r="AP33" s="224" t="s">
        <v>200</v>
      </c>
      <c r="AQ33" s="224" t="s">
        <v>201</v>
      </c>
    </row>
    <row r="34" spans="1:43" ht="15.6" x14ac:dyDescent="0.3">
      <c r="B34" s="795"/>
      <c r="C34" s="275">
        <f t="shared" si="0"/>
        <v>0</v>
      </c>
      <c r="D34" s="275">
        <f t="shared" si="1"/>
        <v>0</v>
      </c>
      <c r="E34" s="275">
        <f t="shared" si="2"/>
        <v>0</v>
      </c>
      <c r="F34" s="275">
        <f t="shared" si="3"/>
        <v>-2.4398762082734167</v>
      </c>
      <c r="G34" s="275">
        <f t="shared" si="4"/>
        <v>-1.7895667289569581</v>
      </c>
      <c r="H34" s="275">
        <f t="shared" si="5"/>
        <v>-1.0797524165468333</v>
      </c>
      <c r="J34" s="797"/>
      <c r="K34" s="226">
        <f t="shared" si="6"/>
        <v>0</v>
      </c>
      <c r="L34" s="226">
        <f t="shared" si="7"/>
        <v>0</v>
      </c>
      <c r="M34" s="226">
        <f t="shared" si="8"/>
        <v>0</v>
      </c>
      <c r="N34" s="226">
        <f t="shared" si="9"/>
        <v>-0.6</v>
      </c>
      <c r="O34" s="226">
        <f t="shared" si="10"/>
        <v>0.2</v>
      </c>
      <c r="Q34" s="604"/>
      <c r="S34" s="774">
        <v>5</v>
      </c>
      <c r="T34" s="396">
        <v>-1.7</v>
      </c>
      <c r="U34" s="397">
        <v>-2.5</v>
      </c>
      <c r="V34" s="396">
        <v>-1.2</v>
      </c>
      <c r="W34" s="397">
        <v>-2</v>
      </c>
      <c r="X34" s="396">
        <v>-0.6</v>
      </c>
      <c r="Y34" s="397">
        <v>-1.2</v>
      </c>
      <c r="Z34" s="399">
        <v>-2.2999999999999998</v>
      </c>
      <c r="AA34" s="389">
        <v>-2.5</v>
      </c>
      <c r="AB34" s="399">
        <v>-1.3</v>
      </c>
      <c r="AC34" s="389">
        <v>-2</v>
      </c>
      <c r="AD34" s="399">
        <v>-0.8</v>
      </c>
      <c r="AE34" s="389">
        <v>-1.2</v>
      </c>
      <c r="AG34" s="776">
        <v>5</v>
      </c>
      <c r="AH34" s="221">
        <v>-1.7</v>
      </c>
      <c r="AI34" s="221">
        <v>-2.5</v>
      </c>
      <c r="AJ34" s="221">
        <v>-1.2</v>
      </c>
      <c r="AK34" s="221">
        <v>-2</v>
      </c>
      <c r="AL34" s="221">
        <v>-0.6</v>
      </c>
      <c r="AM34" s="227">
        <v>-1.2</v>
      </c>
      <c r="AN34" s="228">
        <v>-0.6</v>
      </c>
      <c r="AO34" s="229">
        <v>-0.6</v>
      </c>
      <c r="AP34" s="230">
        <v>-0.6</v>
      </c>
      <c r="AQ34" s="231">
        <v>-0.6</v>
      </c>
    </row>
    <row r="35" spans="1:43" ht="16.2" thickBot="1" x14ac:dyDescent="0.35">
      <c r="B35" s="794">
        <v>15</v>
      </c>
      <c r="C35" s="274">
        <f t="shared" si="0"/>
        <v>-1.6693191455037915</v>
      </c>
      <c r="D35" s="274">
        <f t="shared" si="1"/>
        <v>-1.2895667289569581</v>
      </c>
      <c r="E35" s="274">
        <f t="shared" si="2"/>
        <v>-0.3</v>
      </c>
      <c r="F35" s="276">
        <f t="shared" si="3"/>
        <v>-2.7098143124101246</v>
      </c>
      <c r="G35" s="276">
        <f t="shared" si="4"/>
        <v>-1.7895667289569581</v>
      </c>
      <c r="H35" s="276">
        <f t="shared" si="5"/>
        <v>-1.109814312410125</v>
      </c>
      <c r="J35" s="796">
        <v>15</v>
      </c>
      <c r="K35" s="222">
        <f t="shared" si="6"/>
        <v>-1.6693191455037915</v>
      </c>
      <c r="L35" s="222">
        <f t="shared" si="7"/>
        <v>-1.2895667289569581</v>
      </c>
      <c r="M35" s="222">
        <f t="shared" si="8"/>
        <v>-0.3</v>
      </c>
      <c r="N35" s="222">
        <f t="shared" si="9"/>
        <v>-0.4</v>
      </c>
      <c r="O35" s="222">
        <f t="shared" si="10"/>
        <v>-1.3496905206835415</v>
      </c>
      <c r="Q35" s="605"/>
      <c r="S35" s="775"/>
      <c r="T35" s="398">
        <v>0</v>
      </c>
      <c r="U35" s="390">
        <v>0</v>
      </c>
      <c r="V35" s="398">
        <v>0</v>
      </c>
      <c r="W35" s="390">
        <v>0</v>
      </c>
      <c r="X35" s="398">
        <v>0</v>
      </c>
      <c r="Y35" s="390">
        <v>0</v>
      </c>
      <c r="Z35" s="398">
        <v>-2.2999999999999998</v>
      </c>
      <c r="AA35" s="390">
        <v>-2.5</v>
      </c>
      <c r="AB35" s="398">
        <v>-1.3</v>
      </c>
      <c r="AC35" s="390">
        <v>-2</v>
      </c>
      <c r="AD35" s="398">
        <v>-0.8</v>
      </c>
      <c r="AE35" s="390">
        <v>-1.2</v>
      </c>
      <c r="AG35" s="777"/>
      <c r="AH35" s="230">
        <v>0</v>
      </c>
      <c r="AI35" s="231">
        <v>0</v>
      </c>
      <c r="AJ35" s="230">
        <v>0</v>
      </c>
      <c r="AK35" s="231">
        <v>0</v>
      </c>
      <c r="AL35" s="230">
        <v>0</v>
      </c>
      <c r="AM35" s="234">
        <v>0</v>
      </c>
      <c r="AN35" s="235">
        <v>-0.6</v>
      </c>
      <c r="AO35" s="236">
        <v>-0.6</v>
      </c>
      <c r="AP35" s="230">
        <v>0.2</v>
      </c>
      <c r="AQ35" s="231">
        <v>0.2</v>
      </c>
    </row>
    <row r="36" spans="1:43" ht="15.6" x14ac:dyDescent="0.3">
      <c r="B36" s="795"/>
      <c r="C36" s="275">
        <f t="shared" si="0"/>
        <v>0.2</v>
      </c>
      <c r="D36" s="275">
        <f t="shared" si="1"/>
        <v>0.2</v>
      </c>
      <c r="E36" s="275">
        <f t="shared" si="2"/>
        <v>0.2</v>
      </c>
      <c r="F36" s="275">
        <f t="shared" si="3"/>
        <v>-2.7098143124101246</v>
      </c>
      <c r="G36" s="275">
        <f t="shared" si="4"/>
        <v>-1.7895667289569581</v>
      </c>
      <c r="H36" s="275">
        <f t="shared" si="5"/>
        <v>-1.109814312410125</v>
      </c>
      <c r="J36" s="797"/>
      <c r="K36" s="226">
        <f t="shared" si="6"/>
        <v>0.2</v>
      </c>
      <c r="L36" s="226">
        <f t="shared" si="7"/>
        <v>0.2</v>
      </c>
      <c r="M36" s="226">
        <f t="shared" si="8"/>
        <v>0.2</v>
      </c>
      <c r="N36" s="226">
        <f t="shared" si="9"/>
        <v>0</v>
      </c>
      <c r="O36" s="226">
        <f t="shared" si="10"/>
        <v>0</v>
      </c>
      <c r="Q36" s="603"/>
      <c r="S36" s="774">
        <v>15</v>
      </c>
      <c r="T36" s="396">
        <v>-0.9</v>
      </c>
      <c r="U36" s="397">
        <v>-2</v>
      </c>
      <c r="V36" s="396">
        <v>-0.8</v>
      </c>
      <c r="W36" s="397">
        <v>-1.5</v>
      </c>
      <c r="X36" s="399">
        <v>-0.3</v>
      </c>
      <c r="Y36" s="389">
        <v>-0.3</v>
      </c>
      <c r="Z36" s="399">
        <v>-2.5</v>
      </c>
      <c r="AA36" s="389">
        <v>-2.8</v>
      </c>
      <c r="AB36" s="399">
        <v>-1.3</v>
      </c>
      <c r="AC36" s="389">
        <v>-2</v>
      </c>
      <c r="AD36" s="399">
        <v>-0.9</v>
      </c>
      <c r="AE36" s="389">
        <v>-1.2</v>
      </c>
      <c r="AG36" s="776">
        <v>15</v>
      </c>
      <c r="AH36" s="221">
        <v>-0.9</v>
      </c>
      <c r="AI36" s="221">
        <v>-2</v>
      </c>
      <c r="AJ36" s="221">
        <v>-0.8</v>
      </c>
      <c r="AK36" s="221">
        <v>-1.5</v>
      </c>
      <c r="AL36" s="230">
        <v>-0.3</v>
      </c>
      <c r="AM36" s="231">
        <v>-0.3</v>
      </c>
      <c r="AN36" s="230">
        <v>-0.4</v>
      </c>
      <c r="AO36" s="231">
        <v>-0.4</v>
      </c>
      <c r="AP36" s="237">
        <v>-1</v>
      </c>
      <c r="AQ36" s="237">
        <v>-1.5</v>
      </c>
    </row>
    <row r="37" spans="1:43" ht="16.2" thickBot="1" x14ac:dyDescent="0.35">
      <c r="B37" s="794">
        <v>30</v>
      </c>
      <c r="C37" s="274">
        <f t="shared" si="0"/>
        <v>-1.1993810413670831</v>
      </c>
      <c r="D37" s="274">
        <f t="shared" si="1"/>
        <v>-1.1993810413670831</v>
      </c>
      <c r="E37" s="274">
        <f t="shared" si="2"/>
        <v>-0.2</v>
      </c>
      <c r="F37" s="276">
        <f t="shared" si="3"/>
        <v>-1.9392572496404996</v>
      </c>
      <c r="G37" s="276">
        <f t="shared" si="4"/>
        <v>-1.2895667289569581</v>
      </c>
      <c r="H37" s="276">
        <f t="shared" si="5"/>
        <v>-0.8</v>
      </c>
      <c r="J37" s="796">
        <v>30</v>
      </c>
      <c r="K37" s="222">
        <f t="shared" si="6"/>
        <v>-1.1993810413670831</v>
      </c>
      <c r="L37" s="222">
        <f t="shared" si="7"/>
        <v>-1.1993810413670831</v>
      </c>
      <c r="M37" s="222">
        <f t="shared" si="8"/>
        <v>-0.2</v>
      </c>
      <c r="N37" s="222">
        <f t="shared" si="9"/>
        <v>-0.4</v>
      </c>
      <c r="O37" s="222">
        <f t="shared" si="10"/>
        <v>-0.5</v>
      </c>
      <c r="Q37" s="604"/>
      <c r="S37" s="775"/>
      <c r="T37" s="398">
        <v>0.2</v>
      </c>
      <c r="U37" s="390">
        <v>0.2</v>
      </c>
      <c r="V37" s="398">
        <v>0.2</v>
      </c>
      <c r="W37" s="390">
        <v>0.2</v>
      </c>
      <c r="X37" s="398">
        <v>0.2</v>
      </c>
      <c r="Y37" s="390">
        <v>0.2</v>
      </c>
      <c r="Z37" s="398">
        <v>-2.5</v>
      </c>
      <c r="AA37" s="390">
        <v>-2.8</v>
      </c>
      <c r="AB37" s="398">
        <v>-1.3</v>
      </c>
      <c r="AC37" s="390">
        <v>-2</v>
      </c>
      <c r="AD37" s="398">
        <v>-0.9</v>
      </c>
      <c r="AE37" s="390">
        <v>-1.2</v>
      </c>
      <c r="AG37" s="777"/>
      <c r="AH37" s="230">
        <v>0.2</v>
      </c>
      <c r="AI37" s="231">
        <v>0.2</v>
      </c>
      <c r="AJ37" s="230">
        <v>0.2</v>
      </c>
      <c r="AK37" s="231">
        <v>0.2</v>
      </c>
      <c r="AL37" s="230">
        <v>0.2</v>
      </c>
      <c r="AM37" s="231">
        <v>0.2</v>
      </c>
      <c r="AN37" s="230">
        <v>0</v>
      </c>
      <c r="AO37" s="231">
        <v>0</v>
      </c>
      <c r="AP37" s="237">
        <v>0</v>
      </c>
      <c r="AQ37" s="237">
        <v>0</v>
      </c>
    </row>
    <row r="38" spans="1:43" ht="15.6" x14ac:dyDescent="0.3">
      <c r="B38" s="795"/>
      <c r="C38" s="275">
        <f t="shared" si="0"/>
        <v>0.7</v>
      </c>
      <c r="D38" s="275">
        <f t="shared" si="1"/>
        <v>0.7</v>
      </c>
      <c r="E38" s="275">
        <f t="shared" si="2"/>
        <v>0.4</v>
      </c>
      <c r="F38" s="275">
        <f t="shared" si="3"/>
        <v>-1.9392572496404996</v>
      </c>
      <c r="G38" s="275">
        <f t="shared" si="4"/>
        <v>-1.2895667289569581</v>
      </c>
      <c r="H38" s="275">
        <f t="shared" si="5"/>
        <v>-0.8</v>
      </c>
      <c r="J38" s="797"/>
      <c r="K38" s="226">
        <f t="shared" si="6"/>
        <v>0.7</v>
      </c>
      <c r="L38" s="226">
        <f t="shared" si="7"/>
        <v>0.7</v>
      </c>
      <c r="M38" s="226">
        <f t="shared" si="8"/>
        <v>0.4</v>
      </c>
      <c r="N38" s="226">
        <f t="shared" si="9"/>
        <v>0</v>
      </c>
      <c r="O38" s="226">
        <f t="shared" si="10"/>
        <v>0</v>
      </c>
      <c r="Q38" s="604"/>
      <c r="S38" s="774">
        <v>30</v>
      </c>
      <c r="T38" s="396">
        <v>-0.5</v>
      </c>
      <c r="U38" s="397">
        <v>-1.5</v>
      </c>
      <c r="V38" s="396">
        <v>-0.5</v>
      </c>
      <c r="W38" s="397">
        <v>-1.5</v>
      </c>
      <c r="X38" s="399">
        <v>-0.2</v>
      </c>
      <c r="Y38" s="389">
        <v>-0.2</v>
      </c>
      <c r="Z38" s="399">
        <v>-1.1000000000000001</v>
      </c>
      <c r="AA38" s="389">
        <v>-2.2999999999999998</v>
      </c>
      <c r="AB38" s="399">
        <v>-0.8</v>
      </c>
      <c r="AC38" s="389">
        <v>-1.5</v>
      </c>
      <c r="AD38" s="399">
        <v>-0.8</v>
      </c>
      <c r="AE38" s="389">
        <v>-0.8</v>
      </c>
      <c r="AG38" s="776">
        <v>30</v>
      </c>
      <c r="AH38" s="221">
        <v>-0.5</v>
      </c>
      <c r="AI38" s="221">
        <v>-1.5</v>
      </c>
      <c r="AJ38" s="221">
        <v>-0.5</v>
      </c>
      <c r="AK38" s="221">
        <v>-1.5</v>
      </c>
      <c r="AL38" s="230">
        <v>-0.2</v>
      </c>
      <c r="AM38" s="231">
        <v>-0.2</v>
      </c>
      <c r="AN38" s="230">
        <v>-0.4</v>
      </c>
      <c r="AO38" s="231">
        <v>-0.4</v>
      </c>
      <c r="AP38" s="230">
        <v>-0.5</v>
      </c>
      <c r="AQ38" s="231">
        <v>-0.5</v>
      </c>
    </row>
    <row r="39" spans="1:43" ht="16.2" thickBot="1" x14ac:dyDescent="0.35">
      <c r="B39" s="794">
        <v>45</v>
      </c>
      <c r="C39" s="274">
        <f t="shared" si="0"/>
        <v>0</v>
      </c>
      <c r="D39" s="274">
        <f t="shared" si="1"/>
        <v>0</v>
      </c>
      <c r="E39" s="274">
        <f t="shared" si="2"/>
        <v>0</v>
      </c>
      <c r="F39" s="276">
        <f t="shared" si="3"/>
        <v>-1.0895667289569582</v>
      </c>
      <c r="G39" s="276">
        <f t="shared" si="4"/>
        <v>-0.5</v>
      </c>
      <c r="H39" s="276">
        <f t="shared" si="5"/>
        <v>-0.7</v>
      </c>
      <c r="J39" s="796">
        <v>45</v>
      </c>
      <c r="K39" s="222">
        <f t="shared" si="6"/>
        <v>0</v>
      </c>
      <c r="L39" s="222">
        <f t="shared" si="7"/>
        <v>0</v>
      </c>
      <c r="M39" s="222">
        <f t="shared" si="8"/>
        <v>0</v>
      </c>
      <c r="N39" s="222">
        <f t="shared" si="9"/>
        <v>-0.2</v>
      </c>
      <c r="O39" s="222">
        <f t="shared" si="10"/>
        <v>-0.3</v>
      </c>
      <c r="Q39" s="605"/>
      <c r="S39" s="775"/>
      <c r="T39" s="398">
        <v>0.7</v>
      </c>
      <c r="U39" s="390">
        <v>0.7</v>
      </c>
      <c r="V39" s="398">
        <v>0.7</v>
      </c>
      <c r="W39" s="390">
        <v>0.7</v>
      </c>
      <c r="X39" s="398">
        <v>0.4</v>
      </c>
      <c r="Y39" s="390">
        <v>0.4</v>
      </c>
      <c r="Z39" s="398">
        <v>-1.1000000000000001</v>
      </c>
      <c r="AA39" s="390">
        <v>-2.2999999999999998</v>
      </c>
      <c r="AB39" s="398">
        <v>-0.8</v>
      </c>
      <c r="AC39" s="390">
        <v>-1.5</v>
      </c>
      <c r="AD39" s="398">
        <v>-0.8</v>
      </c>
      <c r="AE39" s="390">
        <v>-0.8</v>
      </c>
      <c r="AG39" s="777"/>
      <c r="AH39" s="230">
        <v>0.7</v>
      </c>
      <c r="AI39" s="231">
        <v>0.7</v>
      </c>
      <c r="AJ39" s="230">
        <v>0.7</v>
      </c>
      <c r="AK39" s="231">
        <v>0.7</v>
      </c>
      <c r="AL39" s="230">
        <v>0.4</v>
      </c>
      <c r="AM39" s="231">
        <v>0.4</v>
      </c>
      <c r="AN39" s="230">
        <v>0</v>
      </c>
      <c r="AO39" s="231">
        <v>0</v>
      </c>
      <c r="AP39" s="230">
        <v>0</v>
      </c>
      <c r="AQ39" s="231">
        <v>0</v>
      </c>
    </row>
    <row r="40" spans="1:43" ht="15.6" x14ac:dyDescent="0.3">
      <c r="B40" s="795"/>
      <c r="C40" s="275">
        <f t="shared" si="0"/>
        <v>0.7</v>
      </c>
      <c r="D40" s="275">
        <f t="shared" si="1"/>
        <v>0.7</v>
      </c>
      <c r="E40" s="275">
        <f t="shared" si="2"/>
        <v>0.6</v>
      </c>
      <c r="F40" s="275">
        <f t="shared" si="3"/>
        <v>-1.0895667289569582</v>
      </c>
      <c r="G40" s="275">
        <f t="shared" si="4"/>
        <v>-0.5</v>
      </c>
      <c r="H40" s="275">
        <f t="shared" si="5"/>
        <v>-0.7</v>
      </c>
      <c r="J40" s="797"/>
      <c r="K40" s="226">
        <f t="shared" si="6"/>
        <v>0.7</v>
      </c>
      <c r="L40" s="226">
        <f t="shared" si="7"/>
        <v>0.7</v>
      </c>
      <c r="M40" s="226">
        <f t="shared" si="8"/>
        <v>0.6</v>
      </c>
      <c r="N40" s="226">
        <f t="shared" si="9"/>
        <v>0</v>
      </c>
      <c r="O40" s="226">
        <f t="shared" si="10"/>
        <v>0</v>
      </c>
      <c r="Q40" s="603"/>
      <c r="S40" s="774">
        <v>45</v>
      </c>
      <c r="T40" s="399">
        <v>0</v>
      </c>
      <c r="U40" s="389">
        <v>0</v>
      </c>
      <c r="V40" s="399">
        <v>0</v>
      </c>
      <c r="W40" s="389">
        <v>0</v>
      </c>
      <c r="X40" s="399">
        <v>0</v>
      </c>
      <c r="Y40" s="389">
        <v>0</v>
      </c>
      <c r="Z40" s="399">
        <v>-0.6</v>
      </c>
      <c r="AA40" s="389">
        <v>-1.3</v>
      </c>
      <c r="AB40" s="399">
        <v>-0.5</v>
      </c>
      <c r="AC40" s="389">
        <v>-0.5</v>
      </c>
      <c r="AD40" s="399">
        <v>-0.7</v>
      </c>
      <c r="AE40" s="389">
        <v>-0.7</v>
      </c>
      <c r="AG40" s="776">
        <v>45</v>
      </c>
      <c r="AH40" s="230">
        <v>0</v>
      </c>
      <c r="AI40" s="231">
        <v>0</v>
      </c>
      <c r="AJ40" s="230">
        <v>0</v>
      </c>
      <c r="AK40" s="231">
        <v>0</v>
      </c>
      <c r="AL40" s="230">
        <v>0</v>
      </c>
      <c r="AM40" s="231">
        <v>0</v>
      </c>
      <c r="AN40" s="230">
        <v>-0.2</v>
      </c>
      <c r="AO40" s="231">
        <v>-0.2</v>
      </c>
      <c r="AP40" s="230">
        <v>-0.3</v>
      </c>
      <c r="AQ40" s="231">
        <v>-0.3</v>
      </c>
    </row>
    <row r="41" spans="1:43" ht="16.2" thickBot="1" x14ac:dyDescent="0.35">
      <c r="B41" s="216">
        <v>60</v>
      </c>
      <c r="C41" s="277">
        <f t="shared" si="0"/>
        <v>0.7</v>
      </c>
      <c r="D41" s="277">
        <f t="shared" si="1"/>
        <v>0.7</v>
      </c>
      <c r="E41" s="277">
        <f t="shared" si="2"/>
        <v>0.7</v>
      </c>
      <c r="F41" s="277">
        <f t="shared" si="3"/>
        <v>-0.84969052068354156</v>
      </c>
      <c r="G41" s="277">
        <f t="shared" si="4"/>
        <v>-0.5</v>
      </c>
      <c r="H41" s="277">
        <f t="shared" si="5"/>
        <v>-0.5</v>
      </c>
      <c r="J41" s="217">
        <v>60</v>
      </c>
      <c r="K41" s="217">
        <f t="shared" si="6"/>
        <v>0.7</v>
      </c>
      <c r="L41" s="217">
        <f t="shared" si="7"/>
        <v>0.7</v>
      </c>
      <c r="M41" s="217">
        <f t="shared" si="8"/>
        <v>0.7</v>
      </c>
      <c r="N41" s="217">
        <f t="shared" si="9"/>
        <v>-0.2</v>
      </c>
      <c r="O41" s="217">
        <f t="shared" si="10"/>
        <v>-0.3</v>
      </c>
      <c r="Q41" s="604"/>
      <c r="S41" s="775"/>
      <c r="T41" s="398">
        <v>0.7</v>
      </c>
      <c r="U41" s="390">
        <v>0.7</v>
      </c>
      <c r="V41" s="398">
        <v>0.7</v>
      </c>
      <c r="W41" s="390">
        <v>0.7</v>
      </c>
      <c r="X41" s="398">
        <v>0.6</v>
      </c>
      <c r="Y41" s="390">
        <v>0.6</v>
      </c>
      <c r="Z41" s="398">
        <v>-0.6</v>
      </c>
      <c r="AA41" s="390">
        <v>-1.3</v>
      </c>
      <c r="AB41" s="398">
        <v>-0.5</v>
      </c>
      <c r="AC41" s="390">
        <v>-0.5</v>
      </c>
      <c r="AD41" s="398">
        <v>-0.7</v>
      </c>
      <c r="AE41" s="390">
        <v>-0.7</v>
      </c>
      <c r="AG41" s="777"/>
      <c r="AH41" s="230">
        <v>0.7</v>
      </c>
      <c r="AI41" s="231">
        <v>0.7</v>
      </c>
      <c r="AJ41" s="230">
        <v>0.7</v>
      </c>
      <c r="AK41" s="231">
        <v>0.7</v>
      </c>
      <c r="AL41" s="230">
        <v>0.6</v>
      </c>
      <c r="AM41" s="231">
        <v>0.6</v>
      </c>
      <c r="AN41" s="230">
        <v>0</v>
      </c>
      <c r="AO41" s="231">
        <v>0</v>
      </c>
      <c r="AP41" s="230">
        <v>0</v>
      </c>
      <c r="AQ41" s="231">
        <v>0</v>
      </c>
    </row>
    <row r="42" spans="1:43" ht="16.2" thickBot="1" x14ac:dyDescent="0.35">
      <c r="B42" s="216">
        <v>75</v>
      </c>
      <c r="C42" s="277">
        <f t="shared" si="0"/>
        <v>0.8</v>
      </c>
      <c r="D42" s="277">
        <f t="shared" si="1"/>
        <v>0.8</v>
      </c>
      <c r="E42" s="277">
        <f t="shared" si="2"/>
        <v>0.8</v>
      </c>
      <c r="F42" s="277">
        <f t="shared" si="3"/>
        <v>-0.84969052068354156</v>
      </c>
      <c r="G42" s="277">
        <f t="shared" si="4"/>
        <v>-0.5</v>
      </c>
      <c r="H42" s="277">
        <f t="shared" si="5"/>
        <v>-0.5</v>
      </c>
      <c r="J42" s="217">
        <v>75</v>
      </c>
      <c r="K42" s="217">
        <f t="shared" si="6"/>
        <v>0.8</v>
      </c>
      <c r="L42" s="217">
        <f t="shared" si="7"/>
        <v>0.8</v>
      </c>
      <c r="M42" s="217">
        <f t="shared" si="8"/>
        <v>0.8</v>
      </c>
      <c r="N42" s="217">
        <f t="shared" si="9"/>
        <v>-0.2</v>
      </c>
      <c r="O42" s="217">
        <f t="shared" si="10"/>
        <v>-0.3</v>
      </c>
      <c r="Q42" s="604"/>
      <c r="S42" s="393">
        <v>60</v>
      </c>
      <c r="T42" s="400">
        <v>0.7</v>
      </c>
      <c r="U42" s="392">
        <v>0.7</v>
      </c>
      <c r="V42" s="400">
        <v>0.7</v>
      </c>
      <c r="W42" s="392">
        <v>0.7</v>
      </c>
      <c r="X42" s="400">
        <v>0.7</v>
      </c>
      <c r="Y42" s="392">
        <v>0.7</v>
      </c>
      <c r="Z42" s="391">
        <v>-0.5</v>
      </c>
      <c r="AA42" s="401">
        <v>-1</v>
      </c>
      <c r="AB42" s="400">
        <v>-0.5</v>
      </c>
      <c r="AC42" s="392">
        <v>-0.5</v>
      </c>
      <c r="AD42" s="400">
        <v>-0.5</v>
      </c>
      <c r="AE42" s="392">
        <v>-0.5</v>
      </c>
      <c r="AG42" s="221">
        <v>60</v>
      </c>
      <c r="AH42" s="230">
        <v>0.7</v>
      </c>
      <c r="AI42" s="231">
        <v>0.7</v>
      </c>
      <c r="AJ42" s="230">
        <v>0.7</v>
      </c>
      <c r="AK42" s="231">
        <v>0.7</v>
      </c>
      <c r="AL42" s="230">
        <v>0.7</v>
      </c>
      <c r="AM42" s="231">
        <v>0.7</v>
      </c>
      <c r="AN42" s="227">
        <v>-0.2</v>
      </c>
      <c r="AO42" s="239">
        <v>-0.2</v>
      </c>
      <c r="AP42" s="230">
        <v>-0.3</v>
      </c>
      <c r="AQ42" s="231">
        <v>-0.3</v>
      </c>
    </row>
    <row r="43" spans="1:43" ht="16.2" thickBot="1" x14ac:dyDescent="0.35">
      <c r="B43" s="240"/>
      <c r="C43" s="240"/>
      <c r="D43" s="240"/>
      <c r="E43" s="240"/>
      <c r="F43" s="240"/>
      <c r="G43" s="240"/>
      <c r="H43" s="240"/>
      <c r="Q43" s="605"/>
      <c r="S43" s="393">
        <v>75</v>
      </c>
      <c r="T43" s="400">
        <v>0.8</v>
      </c>
      <c r="U43" s="392">
        <v>0.8</v>
      </c>
      <c r="V43" s="400">
        <v>0.8</v>
      </c>
      <c r="W43" s="392">
        <v>0.8</v>
      </c>
      <c r="X43" s="400">
        <v>0.8</v>
      </c>
      <c r="Y43" s="392">
        <v>0.8</v>
      </c>
      <c r="Z43" s="391">
        <v>-0.5</v>
      </c>
      <c r="AA43" s="401">
        <v>-1</v>
      </c>
      <c r="AB43" s="400">
        <v>-0.5</v>
      </c>
      <c r="AC43" s="392">
        <v>-0.5</v>
      </c>
      <c r="AD43" s="400">
        <v>-0.5</v>
      </c>
      <c r="AE43" s="392">
        <v>-0.5</v>
      </c>
      <c r="AG43" s="221">
        <v>75</v>
      </c>
      <c r="AH43" s="230">
        <v>0.8</v>
      </c>
      <c r="AI43" s="231">
        <v>0.8</v>
      </c>
      <c r="AJ43" s="230">
        <v>0.8</v>
      </c>
      <c r="AK43" s="231">
        <v>0.8</v>
      </c>
      <c r="AL43" s="230">
        <v>0.8</v>
      </c>
      <c r="AM43" s="231">
        <v>0.8</v>
      </c>
      <c r="AN43" s="227">
        <v>-0.2</v>
      </c>
      <c r="AO43" s="239">
        <v>-0.2</v>
      </c>
      <c r="AP43" s="230">
        <v>-0.3</v>
      </c>
      <c r="AQ43" s="231">
        <v>-0.3</v>
      </c>
    </row>
    <row r="44" spans="1:43" ht="15.6" x14ac:dyDescent="0.3">
      <c r="A44" s="23" t="s">
        <v>202</v>
      </c>
      <c r="B44" s="798">
        <f>pente</f>
        <v>20</v>
      </c>
      <c r="C44" s="242">
        <f t="shared" ref="C44:H45" si="11">IF($B$44&lt;=$B$33, C33,IF(AND($B$44&gt;$B$33,$B$44&lt;=$B$35),C33+(($B$44-$B$33)*(C35-C33)/($B$35-$B$33)),IF(AND($B$44&gt;$B$35,$B$44&lt;=$B$37),C35+(($B$44-$B$35)*(C37-C35)/($B$37-$B$35)),IF(AND($B$44&gt;$B$37,$B$44&lt;=$B$39),C37+(($B$44-$B$37)*(C39-C37)/($B$39-$B$37)),IF(AND($B$44&gt;$B$39,$B$44&lt;=$B$41),C39+(($B$44-$B$39)*(C$41-C39)/($B$41-$B$39)),IF(AND($B$44&gt;$B$41,$B$44&lt;=$B$42),C$41+(($B$44-$B$41)*(C$42-C$41)/($B$42-$B$41)),0))))))</f>
        <v>-1.5126731107915554</v>
      </c>
      <c r="D44" s="242">
        <f t="shared" si="11"/>
        <v>-1.2595048330936665</v>
      </c>
      <c r="E44" s="242">
        <f t="shared" si="11"/>
        <v>-0.26666666666666666</v>
      </c>
      <c r="F44" s="242">
        <f t="shared" si="11"/>
        <v>-2.4529619581535829</v>
      </c>
      <c r="G44" s="242">
        <f t="shared" si="11"/>
        <v>-1.6229000622902914</v>
      </c>
      <c r="H44" s="242">
        <f t="shared" si="11"/>
        <v>-1.0065428749400833</v>
      </c>
      <c r="I44" s="23" t="s">
        <v>202</v>
      </c>
      <c r="J44" s="799">
        <f>pente</f>
        <v>20</v>
      </c>
      <c r="K44" s="242">
        <f t="shared" ref="K44:O45" si="12">IF($B$44&lt;=$B$33, K33,IF(AND($B$44&gt;$B$33,$B$44&lt;=$B$35),K33+(($B$44-$B$33)*(K35-K33)/($B$35-$B$33)),IF(AND($B$44&gt;$B$35,$B$44&lt;=$B$37),K35+(($B$44-$B$35)*(K37-K35)/($B$37-$B$35)),IF(AND($B$44&gt;$B$37,$B$44&lt;=$B$39),K37+(($B$44-$B$37)*(K39-K37)/($B$39-$B$37)),IF(AND($B$44&gt;$B$39,$B$44&lt;=$B$41),K39+(($B$44-$B$39)*(K$41-K39)/($B$41-$B$39)),IF(AND($B$44&gt;$B$41,$B$44&lt;=$B$42),K$41+(($B$44-$B$41)*(K$42-K$41)/($B$42-$B$41)),0))))))</f>
        <v>-1.5126731107915554</v>
      </c>
      <c r="L44" s="242">
        <f t="shared" si="12"/>
        <v>-1.2595048330936665</v>
      </c>
      <c r="M44" s="242">
        <f t="shared" si="12"/>
        <v>-0.26666666666666666</v>
      </c>
      <c r="N44" s="242">
        <f t="shared" si="12"/>
        <v>-0.4</v>
      </c>
      <c r="O44" s="242">
        <f t="shared" si="12"/>
        <v>-1.066460347122361</v>
      </c>
      <c r="Q44" s="603"/>
    </row>
    <row r="45" spans="1:43" ht="15.6" x14ac:dyDescent="0.3">
      <c r="A45" s="23" t="s">
        <v>203</v>
      </c>
      <c r="B45" s="798"/>
      <c r="C45" s="242">
        <f t="shared" si="11"/>
        <v>0.36666666666666664</v>
      </c>
      <c r="D45" s="242">
        <f t="shared" si="11"/>
        <v>0.36666666666666664</v>
      </c>
      <c r="E45" s="242">
        <f t="shared" si="11"/>
        <v>0.26666666666666666</v>
      </c>
      <c r="F45" s="242">
        <f t="shared" si="11"/>
        <v>-2.4529619581535829</v>
      </c>
      <c r="G45" s="242">
        <f t="shared" si="11"/>
        <v>-1.6229000622902914</v>
      </c>
      <c r="H45" s="242">
        <f t="shared" si="11"/>
        <v>-1.0065428749400833</v>
      </c>
      <c r="I45" s="23" t="s">
        <v>203</v>
      </c>
      <c r="J45" s="799"/>
      <c r="K45" s="242">
        <f t="shared" si="12"/>
        <v>0.36666666666666664</v>
      </c>
      <c r="L45" s="242">
        <f t="shared" si="12"/>
        <v>0.36666666666666664</v>
      </c>
      <c r="M45" s="242">
        <f t="shared" si="12"/>
        <v>0.26666666666666666</v>
      </c>
      <c r="N45" s="242">
        <f t="shared" si="12"/>
        <v>0</v>
      </c>
      <c r="O45" s="242">
        <f t="shared" si="12"/>
        <v>0</v>
      </c>
      <c r="Q45" s="604"/>
    </row>
    <row r="46" spans="1:43" ht="18" x14ac:dyDescent="0.3">
      <c r="B46" s="240">
        <f>pente</f>
        <v>20</v>
      </c>
      <c r="C46" s="240"/>
      <c r="D46" s="240"/>
      <c r="E46" s="240"/>
      <c r="F46" s="240"/>
      <c r="G46" s="240"/>
      <c r="H46" s="240"/>
      <c r="Q46" s="604"/>
      <c r="S46" s="773" t="s">
        <v>189</v>
      </c>
      <c r="T46" s="773"/>
      <c r="U46" s="773"/>
      <c r="V46" s="773"/>
      <c r="W46" s="773"/>
      <c r="X46" s="773"/>
      <c r="Y46" s="773"/>
      <c r="Z46" s="773"/>
      <c r="AA46" s="773"/>
      <c r="AB46" s="773"/>
      <c r="AC46" s="773"/>
      <c r="AG46" s="772" t="s">
        <v>192</v>
      </c>
      <c r="AH46" s="772"/>
      <c r="AI46" s="772"/>
      <c r="AJ46" s="772"/>
      <c r="AK46" s="772"/>
      <c r="AL46" s="772"/>
      <c r="AM46" s="772"/>
      <c r="AN46" s="772"/>
      <c r="AO46" s="772"/>
    </row>
    <row r="47" spans="1:43" ht="18" x14ac:dyDescent="0.3">
      <c r="B47" s="787" t="s">
        <v>189</v>
      </c>
      <c r="C47" s="788"/>
      <c r="D47" s="788"/>
      <c r="E47" s="788"/>
      <c r="F47" s="788"/>
      <c r="G47" s="789"/>
      <c r="H47" s="240"/>
      <c r="J47" s="778" t="s">
        <v>190</v>
      </c>
      <c r="K47" s="792"/>
      <c r="L47" s="792"/>
      <c r="M47" s="792"/>
      <c r="N47" s="779"/>
      <c r="Q47" s="605"/>
      <c r="S47" s="773" t="s">
        <v>191</v>
      </c>
      <c r="T47" s="773" t="s">
        <v>204</v>
      </c>
      <c r="U47" s="773"/>
      <c r="V47" s="773"/>
      <c r="W47" s="773"/>
      <c r="X47" s="773"/>
      <c r="Y47" s="773"/>
      <c r="Z47" s="773"/>
      <c r="AA47" s="773"/>
      <c r="AB47" s="773"/>
      <c r="AC47" s="773"/>
      <c r="AG47" s="772" t="s">
        <v>191</v>
      </c>
      <c r="AH47" s="772" t="s">
        <v>204</v>
      </c>
      <c r="AI47" s="772"/>
      <c r="AJ47" s="772"/>
      <c r="AK47" s="772"/>
      <c r="AL47" s="772"/>
      <c r="AM47" s="772"/>
      <c r="AN47" s="772"/>
      <c r="AO47" s="772"/>
    </row>
    <row r="48" spans="1:43" ht="15.6" x14ac:dyDescent="0.3">
      <c r="B48" s="785" t="s">
        <v>191</v>
      </c>
      <c r="C48" s="787" t="s">
        <v>204</v>
      </c>
      <c r="D48" s="788"/>
      <c r="E48" s="788"/>
      <c r="F48" s="788"/>
      <c r="G48" s="789"/>
      <c r="H48" s="240"/>
      <c r="J48" s="790" t="s">
        <v>191</v>
      </c>
      <c r="K48" s="778" t="s">
        <v>204</v>
      </c>
      <c r="L48" s="792"/>
      <c r="M48" s="792"/>
      <c r="N48" s="779"/>
      <c r="Q48" s="603"/>
      <c r="S48" s="773"/>
      <c r="T48" s="773" t="s">
        <v>205</v>
      </c>
      <c r="U48" s="773"/>
      <c r="V48" s="773" t="s">
        <v>206</v>
      </c>
      <c r="W48" s="773"/>
      <c r="X48" s="773" t="s">
        <v>196</v>
      </c>
      <c r="Y48" s="773"/>
      <c r="Z48" s="773" t="s">
        <v>197</v>
      </c>
      <c r="AA48" s="773"/>
      <c r="AB48" s="773" t="s">
        <v>198</v>
      </c>
      <c r="AC48" s="773"/>
      <c r="AG48" s="772"/>
      <c r="AH48" s="772" t="s">
        <v>195</v>
      </c>
      <c r="AI48" s="772"/>
      <c r="AJ48" s="772" t="s">
        <v>196</v>
      </c>
      <c r="AK48" s="772"/>
      <c r="AL48" s="772" t="s">
        <v>197</v>
      </c>
      <c r="AM48" s="772"/>
      <c r="AN48" s="772" t="s">
        <v>198</v>
      </c>
      <c r="AO48" s="772"/>
    </row>
    <row r="49" spans="1:43" ht="18" x14ac:dyDescent="0.3">
      <c r="B49" s="786"/>
      <c r="C49" s="218" t="s">
        <v>205</v>
      </c>
      <c r="D49" s="218" t="s">
        <v>206</v>
      </c>
      <c r="E49" s="218" t="s">
        <v>196</v>
      </c>
      <c r="F49" s="218" t="s">
        <v>197</v>
      </c>
      <c r="G49" s="218" t="s">
        <v>198</v>
      </c>
      <c r="H49" s="240"/>
      <c r="J49" s="791"/>
      <c r="K49" s="219" t="s">
        <v>195</v>
      </c>
      <c r="L49" s="219" t="s">
        <v>196</v>
      </c>
      <c r="M49" s="219" t="s">
        <v>197</v>
      </c>
      <c r="N49" s="219" t="s">
        <v>198</v>
      </c>
      <c r="Q49" s="604"/>
      <c r="S49" s="773"/>
      <c r="T49" s="223" t="s">
        <v>200</v>
      </c>
      <c r="U49" s="223" t="s">
        <v>201</v>
      </c>
      <c r="V49" s="223" t="s">
        <v>200</v>
      </c>
      <c r="W49" s="223" t="s">
        <v>201</v>
      </c>
      <c r="X49" s="223" t="s">
        <v>200</v>
      </c>
      <c r="Y49" s="223" t="s">
        <v>201</v>
      </c>
      <c r="Z49" s="223" t="s">
        <v>200</v>
      </c>
      <c r="AA49" s="223" t="s">
        <v>201</v>
      </c>
      <c r="AB49" s="223" t="s">
        <v>200</v>
      </c>
      <c r="AC49" s="223" t="s">
        <v>201</v>
      </c>
      <c r="AG49" s="772"/>
      <c r="AH49" s="224" t="s">
        <v>200</v>
      </c>
      <c r="AI49" s="224" t="s">
        <v>201</v>
      </c>
      <c r="AJ49" s="224" t="s">
        <v>200</v>
      </c>
      <c r="AK49" s="224" t="s">
        <v>201</v>
      </c>
      <c r="AL49" s="224" t="s">
        <v>200</v>
      </c>
      <c r="AM49" s="224" t="s">
        <v>201</v>
      </c>
      <c r="AN49" s="224" t="s">
        <v>200</v>
      </c>
      <c r="AO49" s="224" t="s">
        <v>201</v>
      </c>
    </row>
    <row r="50" spans="1:43" ht="15.6" x14ac:dyDescent="0.3">
      <c r="B50" s="216">
        <v>5</v>
      </c>
      <c r="C50" s="238">
        <f t="shared" ref="C50:C55" si="13">IF(Module_Area&lt;=1,U50,IF(Module_Area&gt;=10,T50,U50-(U50-T50)*LOG10(Module_Area)))</f>
        <v>-2.4496905206835415</v>
      </c>
      <c r="D50" s="238">
        <f t="shared" ref="D50:D55" si="14">IF(Module_Area&lt;=1,W50,IF(Module_Area&gt;=10,V50,W50-(W50-V50)*LOG10(Module_Area)))</f>
        <v>-2.3098143124101247</v>
      </c>
      <c r="E50" s="238">
        <f t="shared" ref="E50:E55" si="15">IF(Module_Area&lt;=1,Y50,IF(Module_Area&gt;=10,X50,Y50-(Y50-X50)*LOG10(Module_Area)))</f>
        <v>-1.9398762082734167</v>
      </c>
      <c r="F50" s="238">
        <f t="shared" ref="F50:F55" si="16">IF(Module_Area&lt;=1,AA50,IF(Module_Area&gt;=10,Z50,AA50-(AA50-Z50)*LOG10(Module_Area)))</f>
        <v>-1.0196286248202497</v>
      </c>
      <c r="G50" s="238">
        <f t="shared" ref="G50:G55" si="17">IF(Module_Area&lt;=1,AC50,IF(Module_Area&gt;=10,AB50,AC50-(AC50-AB50)*LOG10(Module_Area)))</f>
        <v>-0.5</v>
      </c>
      <c r="H50" s="243"/>
      <c r="I50" s="14"/>
      <c r="J50" s="217">
        <v>5</v>
      </c>
      <c r="K50" s="217">
        <f t="shared" ref="K50:K55" si="18">IF(Module_Area&lt;=1,AI50,IF(Module_Area&gt;=10,AH50,AI50-(AI50-AH50)*LOG10(Module_Area)))</f>
        <v>-2.0196286248202502</v>
      </c>
      <c r="L50" s="217">
        <f t="shared" ref="L50:L55" si="19">IF(Module_Area&lt;=1,AK50,IF(Module_Area&gt;=10,AJ50,AK50-(AK50-AJ50)*LOG10(Module_Area)))</f>
        <v>-1.7895667289569581</v>
      </c>
      <c r="M50" s="217">
        <f t="shared" ref="M50:M55" si="20">IF(Module_Area&lt;=1,AM50,IF(Module_Area&gt;=10,AL50,AM50-(AM50-AL50)*LOG10(Module_Area)))</f>
        <v>-1.0496905206835416</v>
      </c>
      <c r="N50" s="217">
        <f t="shared" ref="N50:N55" si="21">IF(Module_Area&lt;=1,AO50,IF(Module_Area&gt;=10,AN50,AO50-(AO50-AN50)*LOG10(Module_Area)))</f>
        <v>-0.6</v>
      </c>
      <c r="Q50" s="604"/>
      <c r="S50" s="220">
        <v>5</v>
      </c>
      <c r="T50" s="220">
        <v>-2.1</v>
      </c>
      <c r="U50" s="220">
        <v>-2.6</v>
      </c>
      <c r="V50" s="220">
        <v>-2.1</v>
      </c>
      <c r="W50" s="220">
        <v>-2.4</v>
      </c>
      <c r="X50" s="220">
        <v>-1.8</v>
      </c>
      <c r="Y50" s="220">
        <v>-2</v>
      </c>
      <c r="Z50" s="220">
        <v>-0.6</v>
      </c>
      <c r="AA50" s="220">
        <v>-1.2</v>
      </c>
      <c r="AB50" s="232">
        <v>-0.5</v>
      </c>
      <c r="AC50" s="233">
        <v>-0.5</v>
      </c>
      <c r="AG50" s="221">
        <v>5</v>
      </c>
      <c r="AH50" s="221">
        <v>-1.6</v>
      </c>
      <c r="AI50" s="221">
        <v>-2.2000000000000002</v>
      </c>
      <c r="AJ50" s="221">
        <v>-1.3</v>
      </c>
      <c r="AK50" s="221">
        <v>-2</v>
      </c>
      <c r="AL50" s="221">
        <v>-0.7</v>
      </c>
      <c r="AM50" s="221">
        <v>-1.2</v>
      </c>
      <c r="AN50" s="221">
        <v>-0.6</v>
      </c>
      <c r="AO50" s="221">
        <v>-0.6</v>
      </c>
    </row>
    <row r="51" spans="1:43" ht="15.6" x14ac:dyDescent="0.3">
      <c r="B51" s="216">
        <v>15</v>
      </c>
      <c r="C51" s="238">
        <f t="shared" si="13"/>
        <v>-2.7496905206835414</v>
      </c>
      <c r="D51" s="216">
        <f t="shared" si="14"/>
        <v>-2.1595048330936666</v>
      </c>
      <c r="E51" s="216">
        <f t="shared" si="15"/>
        <v>-2.31962862482025</v>
      </c>
      <c r="F51" s="216">
        <f t="shared" si="16"/>
        <v>-1.0797524165468333</v>
      </c>
      <c r="G51" s="238">
        <f t="shared" si="17"/>
        <v>-1.0496905206835416</v>
      </c>
      <c r="H51" s="243"/>
      <c r="I51" s="14"/>
      <c r="J51" s="217">
        <v>15</v>
      </c>
      <c r="K51" s="217">
        <f t="shared" si="18"/>
        <v>-1.7895667289569581</v>
      </c>
      <c r="L51" s="217">
        <f t="shared" si="19"/>
        <v>-1.7895667289569581</v>
      </c>
      <c r="M51" s="217">
        <f t="shared" si="20"/>
        <v>-1.0196286248202497</v>
      </c>
      <c r="N51" s="217">
        <f t="shared" si="21"/>
        <v>-0.5</v>
      </c>
      <c r="Q51" s="605"/>
      <c r="S51" s="220">
        <v>15</v>
      </c>
      <c r="T51" s="220">
        <v>-2.4</v>
      </c>
      <c r="U51" s="220">
        <v>-2.9</v>
      </c>
      <c r="V51" s="220">
        <v>-1.6</v>
      </c>
      <c r="W51" s="220">
        <v>-2.4</v>
      </c>
      <c r="X51" s="220">
        <v>-1.9</v>
      </c>
      <c r="Y51" s="220">
        <v>-2.5</v>
      </c>
      <c r="Z51" s="220">
        <v>-0.8</v>
      </c>
      <c r="AA51" s="220">
        <v>-1.2</v>
      </c>
      <c r="AB51" s="220">
        <v>-0.7</v>
      </c>
      <c r="AC51" s="220">
        <v>-1.2</v>
      </c>
      <c r="AG51" s="221">
        <v>15</v>
      </c>
      <c r="AH51" s="221">
        <v>-1.3</v>
      </c>
      <c r="AI51" s="221">
        <v>-2</v>
      </c>
      <c r="AJ51" s="221">
        <v>-1.3</v>
      </c>
      <c r="AK51" s="221">
        <v>-2</v>
      </c>
      <c r="AL51" s="221">
        <v>-0.6</v>
      </c>
      <c r="AM51" s="221">
        <v>-1.2</v>
      </c>
      <c r="AN51" s="221">
        <v>-0.5</v>
      </c>
      <c r="AO51" s="221">
        <v>-0.5</v>
      </c>
    </row>
    <row r="52" spans="1:43" ht="15.6" x14ac:dyDescent="0.3">
      <c r="B52" s="216">
        <v>30</v>
      </c>
      <c r="C52" s="238">
        <f t="shared" si="13"/>
        <v>-2.6595048330936666</v>
      </c>
      <c r="D52" s="216">
        <f t="shared" si="14"/>
        <v>-1.7895667289569581</v>
      </c>
      <c r="E52" s="216">
        <f t="shared" si="15"/>
        <v>-1.8496905206835415</v>
      </c>
      <c r="F52" s="216">
        <f t="shared" si="16"/>
        <v>-1.209814312410125</v>
      </c>
      <c r="G52" s="238">
        <f t="shared" si="17"/>
        <v>-1.0797524165468333</v>
      </c>
      <c r="H52" s="243"/>
      <c r="I52" s="14"/>
      <c r="J52" s="217">
        <v>30</v>
      </c>
      <c r="K52" s="217">
        <f t="shared" si="18"/>
        <v>-1.3797524165468333</v>
      </c>
      <c r="L52" s="217">
        <f t="shared" si="19"/>
        <v>-1.8196286248202498</v>
      </c>
      <c r="M52" s="217">
        <f t="shared" si="20"/>
        <v>-1.0797524165468333</v>
      </c>
      <c r="N52" s="217">
        <f t="shared" si="21"/>
        <v>-0.5</v>
      </c>
      <c r="Q52" s="603"/>
      <c r="S52" s="220">
        <v>30</v>
      </c>
      <c r="T52" s="220">
        <v>-2.1</v>
      </c>
      <c r="U52" s="220">
        <v>-2.9</v>
      </c>
      <c r="V52" s="220">
        <v>-1.3</v>
      </c>
      <c r="W52" s="220">
        <v>-2</v>
      </c>
      <c r="X52" s="220">
        <v>-1.5</v>
      </c>
      <c r="Y52" s="220">
        <v>-2</v>
      </c>
      <c r="Z52" s="220">
        <v>-1</v>
      </c>
      <c r="AA52" s="220">
        <v>-1.3</v>
      </c>
      <c r="AB52" s="220">
        <v>-0.8</v>
      </c>
      <c r="AC52" s="220">
        <v>-1.2</v>
      </c>
      <c r="AG52" s="221">
        <v>30</v>
      </c>
      <c r="AH52" s="221">
        <v>-1.1000000000000001</v>
      </c>
      <c r="AI52" s="221">
        <v>-1.5</v>
      </c>
      <c r="AJ52" s="221">
        <v>-1.4</v>
      </c>
      <c r="AK52" s="221">
        <v>-2</v>
      </c>
      <c r="AL52" s="221">
        <v>-0.8</v>
      </c>
      <c r="AM52" s="221">
        <v>-1.2</v>
      </c>
      <c r="AN52" s="221">
        <v>-0.5</v>
      </c>
      <c r="AO52" s="221">
        <v>-0.5</v>
      </c>
    </row>
    <row r="53" spans="1:43" ht="15.6" x14ac:dyDescent="0.3">
      <c r="B53" s="216">
        <v>45</v>
      </c>
      <c r="C53" s="238">
        <f t="shared" si="13"/>
        <v>-2.1294429372303747</v>
      </c>
      <c r="D53" s="216">
        <f t="shared" si="14"/>
        <v>-1.7895667289569581</v>
      </c>
      <c r="E53" s="216">
        <f t="shared" si="15"/>
        <v>-1.8196286248202498</v>
      </c>
      <c r="F53" s="216">
        <f t="shared" si="16"/>
        <v>-1.209814312410125</v>
      </c>
      <c r="G53" s="238">
        <f t="shared" si="17"/>
        <v>-1.109814312410125</v>
      </c>
      <c r="H53" s="243"/>
      <c r="I53" s="14"/>
      <c r="J53" s="217">
        <v>45</v>
      </c>
      <c r="K53" s="217">
        <f t="shared" si="18"/>
        <v>-1.3797524165468333</v>
      </c>
      <c r="L53" s="217">
        <f t="shared" si="19"/>
        <v>-1.8196286248202498</v>
      </c>
      <c r="M53" s="217">
        <f t="shared" si="20"/>
        <v>-1.109814312410125</v>
      </c>
      <c r="N53" s="217">
        <f t="shared" si="21"/>
        <v>-0.5</v>
      </c>
      <c r="Q53" s="604"/>
      <c r="S53" s="220">
        <v>45</v>
      </c>
      <c r="T53" s="220">
        <v>-1.5</v>
      </c>
      <c r="U53" s="220">
        <v>-2.4</v>
      </c>
      <c r="V53" s="220">
        <v>-1.3</v>
      </c>
      <c r="W53" s="220">
        <v>-2</v>
      </c>
      <c r="X53" s="220">
        <v>-1.4</v>
      </c>
      <c r="Y53" s="220">
        <v>-2</v>
      </c>
      <c r="Z53" s="220">
        <v>-1</v>
      </c>
      <c r="AA53" s="220">
        <v>-1.3</v>
      </c>
      <c r="AB53" s="220">
        <v>-0.9</v>
      </c>
      <c r="AC53" s="220">
        <v>-1.2</v>
      </c>
      <c r="AG53" s="221">
        <v>45</v>
      </c>
      <c r="AH53" s="221">
        <v>-1.1000000000000001</v>
      </c>
      <c r="AI53" s="221">
        <v>-1.5</v>
      </c>
      <c r="AJ53" s="221">
        <v>-1.4</v>
      </c>
      <c r="AK53" s="221">
        <v>-2</v>
      </c>
      <c r="AL53" s="221">
        <v>-0.9</v>
      </c>
      <c r="AM53" s="221">
        <v>-1.2</v>
      </c>
      <c r="AN53" s="221">
        <v>-0.5</v>
      </c>
      <c r="AO53" s="221">
        <v>-0.5</v>
      </c>
    </row>
    <row r="54" spans="1:43" ht="15.6" x14ac:dyDescent="0.3">
      <c r="B54" s="216">
        <v>60</v>
      </c>
      <c r="C54" s="238">
        <f t="shared" si="13"/>
        <v>-1.7595048330936665</v>
      </c>
      <c r="D54" s="216">
        <f t="shared" si="14"/>
        <v>-1.7595048330936665</v>
      </c>
      <c r="E54" s="216">
        <f t="shared" si="15"/>
        <v>-1.7595048330936665</v>
      </c>
      <c r="F54" s="216">
        <f t="shared" si="16"/>
        <v>-1.209814312410125</v>
      </c>
      <c r="G54" s="238">
        <f t="shared" si="17"/>
        <v>-1.0496905206835416</v>
      </c>
      <c r="H54" s="243"/>
      <c r="I54" s="14"/>
      <c r="J54" s="217">
        <v>60</v>
      </c>
      <c r="K54" s="217">
        <f t="shared" si="18"/>
        <v>-1.3797524165468333</v>
      </c>
      <c r="L54" s="217">
        <f t="shared" si="19"/>
        <v>-1.7595048330936665</v>
      </c>
      <c r="M54" s="217">
        <f t="shared" si="20"/>
        <v>-0.93987620827341667</v>
      </c>
      <c r="N54" s="217">
        <f t="shared" si="21"/>
        <v>-0.5</v>
      </c>
      <c r="Q54" s="604"/>
      <c r="S54" s="220">
        <v>60</v>
      </c>
      <c r="T54" s="220">
        <v>-1.2</v>
      </c>
      <c r="U54" s="220">
        <v>-2</v>
      </c>
      <c r="V54" s="220">
        <v>-1.2</v>
      </c>
      <c r="W54" s="220">
        <v>-2</v>
      </c>
      <c r="X54" s="220">
        <v>-1.2</v>
      </c>
      <c r="Y54" s="220">
        <v>-2</v>
      </c>
      <c r="Z54" s="220">
        <v>-1</v>
      </c>
      <c r="AA54" s="220">
        <v>-1.3</v>
      </c>
      <c r="AB54" s="220">
        <v>-0.7</v>
      </c>
      <c r="AC54" s="220">
        <v>-1.2</v>
      </c>
      <c r="AG54" s="221">
        <v>60</v>
      </c>
      <c r="AH54" s="221">
        <v>-1.1000000000000001</v>
      </c>
      <c r="AI54" s="221">
        <v>-1.5</v>
      </c>
      <c r="AJ54" s="221">
        <v>-1.2</v>
      </c>
      <c r="AK54" s="221">
        <v>-2</v>
      </c>
      <c r="AL54" s="221">
        <v>-0.8</v>
      </c>
      <c r="AM54" s="221">
        <v>-1</v>
      </c>
      <c r="AN54" s="221">
        <v>-0.5</v>
      </c>
      <c r="AO54" s="221">
        <v>-0.5</v>
      </c>
    </row>
    <row r="55" spans="1:43" ht="15.6" x14ac:dyDescent="0.3">
      <c r="B55" s="216">
        <v>75</v>
      </c>
      <c r="C55" s="238">
        <f t="shared" si="13"/>
        <v>-1.7595048330936665</v>
      </c>
      <c r="D55" s="216">
        <f t="shared" si="14"/>
        <v>-1.7595048330936665</v>
      </c>
      <c r="E55" s="216">
        <f t="shared" si="15"/>
        <v>-1.7595048330936665</v>
      </c>
      <c r="F55" s="216">
        <f t="shared" si="16"/>
        <v>-1.209814312410125</v>
      </c>
      <c r="G55" s="238">
        <f t="shared" si="17"/>
        <v>-0.5</v>
      </c>
      <c r="H55" s="243"/>
      <c r="I55" s="14"/>
      <c r="J55" s="217">
        <v>75</v>
      </c>
      <c r="K55" s="217">
        <f t="shared" si="18"/>
        <v>-1.3797524165468333</v>
      </c>
      <c r="L55" s="217">
        <f t="shared" si="19"/>
        <v>-1.7595048330936665</v>
      </c>
      <c r="M55" s="217">
        <f t="shared" si="20"/>
        <v>-0.93987620827341667</v>
      </c>
      <c r="N55" s="217">
        <f t="shared" si="21"/>
        <v>-0.5</v>
      </c>
      <c r="Q55" s="605"/>
      <c r="S55" s="220">
        <v>75</v>
      </c>
      <c r="T55" s="220">
        <v>-1.2</v>
      </c>
      <c r="U55" s="220">
        <v>-2</v>
      </c>
      <c r="V55" s="220">
        <v>-1.2</v>
      </c>
      <c r="W55" s="220">
        <v>-2</v>
      </c>
      <c r="X55" s="220">
        <v>-1.2</v>
      </c>
      <c r="Y55" s="220">
        <v>-2</v>
      </c>
      <c r="Z55" s="220">
        <v>-1</v>
      </c>
      <c r="AA55" s="220">
        <v>-1.3</v>
      </c>
      <c r="AB55" s="232">
        <v>-0.5</v>
      </c>
      <c r="AC55" s="233">
        <v>-0.5</v>
      </c>
      <c r="AG55" s="221">
        <v>75</v>
      </c>
      <c r="AH55" s="221">
        <v>-1.1000000000000001</v>
      </c>
      <c r="AI55" s="221">
        <v>-1.5</v>
      </c>
      <c r="AJ55" s="221">
        <v>-1.2</v>
      </c>
      <c r="AK55" s="221">
        <v>-2</v>
      </c>
      <c r="AL55" s="221">
        <v>-0.8</v>
      </c>
      <c r="AM55" s="221">
        <v>-1</v>
      </c>
      <c r="AN55" s="221">
        <v>-0.5</v>
      </c>
      <c r="AO55" s="221">
        <v>-0.5</v>
      </c>
    </row>
    <row r="56" spans="1:43" ht="15.6" x14ac:dyDescent="0.3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Q56" s="603"/>
    </row>
    <row r="57" spans="1:43" ht="15.6" x14ac:dyDescent="0.3">
      <c r="A57" t="s">
        <v>202</v>
      </c>
      <c r="B57" s="241">
        <f>pente</f>
        <v>20</v>
      </c>
      <c r="C57" s="244">
        <f>IF($B$44&lt;=$B$33, C50,IF(AND($B$44&gt;$B$33,$B$44&lt;=$B$35),C50+(($B$44-$B$33)*(C51-C50)/($B$35-$B$33)),IF(AND($B$44&gt;$B$35,$B$44&lt;=$B$37),C51+(($B$44-$B$35)*(C52-C51)/($B$37-$B$35)),IF(AND($B$44&gt;$B$37,$B$44&lt;=$B$39),C52+(($B$44-$B$37)*(C53-C52)/($B$39-$B$37)),IF(AND($B$44&gt;$B$39,$B$44&lt;=$B$41),C53+(($B$44-$B$39)*(C54-C53)/($B$41-$B$39)),IF(AND($B$44&gt;$B$41,$B$44&lt;=$B$42),C54+(($B$44-$B$41)*(C55-C54)/($B$42-$B$41)),0))))))</f>
        <v>-2.7196286248202499</v>
      </c>
      <c r="D57" s="245">
        <f>IF($B$44&lt;=$B$33, D50,IF(AND($B$44&gt;$B$33,$B$44&lt;=$B$35),D50+(($B$44-$B$33)*(D51-D50)/($B$35-$B$33)),IF(AND($B$44&gt;$B$35,$B$44&lt;=$B$37),D51+(($B$44-$B$35)*(D52-D51)/($B$37-$B$35)),IF(AND($B$44&gt;$B$37,$B$44&lt;=$B$39),D52+(($B$44-$B$37)*(D53-D52)/($B$39-$B$37)),IF(AND($B$44&gt;$B$39,$B$44&lt;=$B$41),D53+(($B$44-$B$39)*(D54-D53)/($B$41-$B$39)),IF(AND($B$44&gt;$B$41,$B$44&lt;=$B$42),D54+(($B$44-$B$41)*(D55-D54)/($B$42-$B$41)),0))))))</f>
        <v>-2.0361921317147638</v>
      </c>
      <c r="E57" s="245">
        <f>IF($B$44&lt;=$B$33, E50,IF(AND($B$44&gt;$B$33,$B$44&lt;=$B$35),E50+(($B$44-$B$33)*(E51-E50)/($B$35-$B$33)),IF(AND($B$44&gt;$B$35,$B$44&lt;=$B$37),E51+(($B$44-$B$35)*(E52-E51)/($B$37-$B$35)),IF(AND($B$44&gt;$B$37,$B$44&lt;=$B$39),E52+(($B$44-$B$37)*(E53-E52)/($B$39-$B$37)),IF(AND($B$44&gt;$B$39,$B$44&lt;=$B$41),E53+(($B$44-$B$39)*(E54-E53)/($B$41-$B$39)),IF(AND($B$44&gt;$B$41,$B$44&lt;=$B$42),E54+(($B$44-$B$41)*(E55-E54)/($B$42-$B$41)),0))))))</f>
        <v>-2.162982590108014</v>
      </c>
      <c r="F57" s="245">
        <f>IF($B$44&lt;=$B$33, F50,IF(AND($B$44&gt;$B$33,$B$44&lt;=$B$35),F50+(($B$44-$B$33)*(F51-F50)/($B$35-$B$33)),IF(AND($B$44&gt;$B$35,$B$44&lt;=$B$37),F51+(($B$44-$B$35)*(F52-F51)/($B$37-$B$35)),IF(AND($B$44&gt;$B$37,$B$44&lt;=$B$39),F52+(($B$44-$B$37)*(F53-F52)/($B$39-$B$37)),IF(AND($B$44&gt;$B$39,$B$44&lt;=$B$41),F53+(($B$44-$B$39)*(F54-F53)/($B$41-$B$39)),IF(AND($B$44&gt;$B$41,$B$44&lt;=$B$42),F54+(($B$44-$B$41)*(F55-F54)/($B$42-$B$41)),0))))))</f>
        <v>-1.1231063818345972</v>
      </c>
      <c r="G57" s="245">
        <f>IF($B$44&lt;=$B$33, G50,IF(AND($B$44&gt;$B$33,$B$44&lt;=$B$35),G50+(($B$44-$B$33)*(G51-G50)/($B$35-$B$33)),IF(AND($B$44&gt;$B$35,$B$44&lt;=$B$37),G51+(($B$44-$B$35)*(G52-G51)/($B$37-$B$35)),IF(AND($B$44&gt;$B$37,$B$44&lt;=$B$39),G52+(($B$44-$B$37)*(G53-G52)/($B$39-$B$37)),IF(AND($B$44&gt;$B$39,$B$44&lt;=$B$41),G53+(($B$44-$B$39)*(G54-G53)/($B$41-$B$39)),IF(AND($B$44&gt;$B$41,$B$44&lt;=$B$42),G54+(($B$44-$B$41)*(G55-G54)/($B$42-$B$41)),0))))))</f>
        <v>-1.0597111526379721</v>
      </c>
      <c r="H57" s="14"/>
      <c r="I57" s="14" t="s">
        <v>202</v>
      </c>
      <c r="J57" s="246">
        <f>pente</f>
        <v>20</v>
      </c>
      <c r="K57" s="301">
        <f>IF($B$44&lt;=$B$33, K50,IF(AND($B$44&gt;$B$33,$B$44&lt;=$B$35),K50+(($B$44-$B$33)*(K51-K50)/($B$35-$B$33)),IF(AND($B$44&gt;$B$35,$B$44&lt;=$B$37),K51+(($B$44-$B$35)*(K52-K51)/($B$37-$B$35)),IF(AND($B$44&gt;$B$37,$B$44&lt;=$B$39),K52+(($B$44-$B$37)*(K53-K52)/($B$39-$B$37)),IF(AND($B$44&gt;$B$39,$B$44&lt;=$B$41),K53+(($B$44-$B$39)*(K54-K53)/($B$41-$B$39)),IF(AND($B$44&gt;$B$41,$B$44&lt;=$B$42),K54+(($B$44-$B$41)*(K55-K54)/($B$42-$B$41)),0))))))</f>
        <v>-1.6529619581535833</v>
      </c>
      <c r="L57" s="301">
        <f>IF($B$44&lt;=$B$33, L50,IF(AND($B$44&gt;$B$33,$B$44&lt;=$B$35),L50+(($B$44-$B$33)*(L51-L50)/($B$35-$B$33)),IF(AND($B$44&gt;$B$35,$B$44&lt;=$B$37),L51+(($B$44-$B$35)*(L52-L51)/($B$37-$B$35)),IF(AND($B$44&gt;$B$37,$B$44&lt;=$B$39),L52+(($B$44-$B$37)*(L53-L52)/($B$39-$B$37)),IF(AND($B$44&gt;$B$39,$B$44&lt;=$B$41),L53+(($B$44-$B$39)*(L54-L53)/($B$41-$B$39)),IF(AND($B$44&gt;$B$41,$B$44&lt;=$B$42),L54+(($B$44-$B$41)*(L55-L54)/($B$42-$B$41)),0))))))</f>
        <v>-1.7995873609113886</v>
      </c>
      <c r="M57" s="301">
        <f>IF($B$44&lt;=$B$33, M50,IF(AND($B$44&gt;$B$33,$B$44&lt;=$B$35),M50+(($B$44-$B$33)*(M51-M50)/($B$35-$B$33)),IF(AND($B$44&gt;$B$35,$B$44&lt;=$B$37),M51+(($B$44-$B$35)*(M52-M51)/($B$37-$B$35)),IF(AND($B$44&gt;$B$37,$B$44&lt;=$B$39),M52+(($B$44-$B$37)*(M53-M52)/($B$39-$B$37)),IF(AND($B$44&gt;$B$39,$B$44&lt;=$B$41),M53+(($B$44-$B$39)*(M54-M53)/($B$41-$B$39)),IF(AND($B$44&gt;$B$41,$B$44&lt;=$B$42),M54+(($B$44-$B$41)*(M55-M54)/($B$42-$B$41)),0))))))</f>
        <v>-1.0396698887291109</v>
      </c>
      <c r="N57" s="301">
        <f>IF($B$44&lt;=$B$33, N50,IF(AND($B$44&gt;$B$33,$B$44&lt;=$B$35),N50+(($B$44-$B$33)*(N51-N50)/($B$35-$B$33)),IF(AND($B$44&gt;$B$35,$B$44&lt;=$B$37),N51+(($B$44-$B$35)*(N52-N51)/($B$37-$B$35)),IF(AND($B$44&gt;$B$37,$B$44&lt;=$B$39),N52+(($B$44-$B$37)*(N53-N52)/($B$39-$B$37)),IF(AND($B$44&gt;$B$39,$B$44&lt;=$B$41),N53+(($B$44-$B$39)*(N54-N53)/($B$41-$B$39)),IF(AND($B$44&gt;$B$41,$B$44&lt;=$B$42),N54+(($B$44-$B$41)*(N55-N54)/($B$42-$B$41)),0))))))</f>
        <v>-0.5</v>
      </c>
      <c r="Q57" s="604"/>
    </row>
    <row r="58" spans="1:43" x14ac:dyDescent="0.3">
      <c r="Q58" s="604"/>
    </row>
    <row r="59" spans="1:43" ht="15.6" x14ac:dyDescent="0.3">
      <c r="D59" s="14"/>
      <c r="F59" s="14"/>
      <c r="G59" s="14"/>
      <c r="P59" s="140"/>
      <c r="Q59" s="291"/>
    </row>
    <row r="60" spans="1:43" ht="18" thickBot="1" x14ac:dyDescent="0.4">
      <c r="A60" s="408" t="s">
        <v>484</v>
      </c>
      <c r="B60" s="408"/>
      <c r="D60" s="14"/>
      <c r="F60" s="14"/>
      <c r="G60" s="14"/>
      <c r="P60" s="140"/>
      <c r="Q60" s="291"/>
    </row>
    <row r="61" spans="1:43" ht="16.2" thickTop="1" x14ac:dyDescent="0.3">
      <c r="D61" s="14"/>
      <c r="F61" s="14"/>
      <c r="G61" s="14"/>
      <c r="P61" s="140"/>
      <c r="Q61" s="291"/>
    </row>
    <row r="62" spans="1:43" ht="18" x14ac:dyDescent="0.35">
      <c r="B62" s="793" t="str">
        <f>$C$1</f>
        <v>Monopan</v>
      </c>
      <c r="C62" s="793"/>
      <c r="D62" s="793"/>
      <c r="E62" s="793"/>
      <c r="F62" s="793"/>
      <c r="G62" s="793"/>
      <c r="H62" s="793"/>
      <c r="J62" s="800" t="str">
        <f>$C$2</f>
        <v>Bipan</v>
      </c>
      <c r="K62" s="800"/>
      <c r="L62" s="800"/>
      <c r="M62" s="800"/>
      <c r="N62" s="800"/>
      <c r="O62" s="800"/>
      <c r="P62" s="140"/>
      <c r="Q62" s="291"/>
      <c r="S62" s="793" t="s">
        <v>187</v>
      </c>
      <c r="T62" s="793"/>
      <c r="U62" s="793"/>
      <c r="V62" s="793"/>
      <c r="W62" s="793"/>
      <c r="X62" s="793"/>
      <c r="Y62" s="793"/>
      <c r="Z62" s="793"/>
      <c r="AA62" s="793"/>
      <c r="AB62" s="793"/>
      <c r="AC62" s="793"/>
      <c r="AD62" s="793"/>
      <c r="AE62" s="793"/>
      <c r="AG62" s="800" t="s">
        <v>188</v>
      </c>
      <c r="AH62" s="800"/>
      <c r="AI62" s="800"/>
      <c r="AJ62" s="800"/>
      <c r="AK62" s="800"/>
      <c r="AL62" s="800"/>
      <c r="AM62" s="800"/>
      <c r="AN62" s="800"/>
      <c r="AO62" s="800"/>
      <c r="AP62" s="800"/>
      <c r="AQ62" s="800"/>
    </row>
    <row r="63" spans="1:43" ht="15.6" x14ac:dyDescent="0.3">
      <c r="P63" s="140"/>
      <c r="Q63" s="291"/>
    </row>
    <row r="64" spans="1:43" ht="18" x14ac:dyDescent="0.4">
      <c r="B64" s="801" t="s">
        <v>189</v>
      </c>
      <c r="C64" s="801"/>
      <c r="D64" s="801"/>
      <c r="E64" s="801"/>
      <c r="F64" s="801"/>
      <c r="G64" s="801"/>
      <c r="H64" s="801"/>
      <c r="J64" s="802" t="s">
        <v>190</v>
      </c>
      <c r="K64" s="803"/>
      <c r="L64" s="803"/>
      <c r="M64" s="803"/>
      <c r="N64" s="803"/>
      <c r="O64" s="804"/>
      <c r="P64" s="140"/>
      <c r="Q64" s="291"/>
      <c r="S64" s="773" t="s">
        <v>189</v>
      </c>
      <c r="T64" s="773"/>
      <c r="U64" s="773"/>
      <c r="V64" s="773"/>
      <c r="W64" s="773"/>
      <c r="X64" s="773"/>
      <c r="Y64" s="773"/>
      <c r="Z64" s="773"/>
      <c r="AA64" s="773"/>
      <c r="AB64" s="773"/>
      <c r="AC64" s="773"/>
      <c r="AD64" s="773"/>
      <c r="AE64" s="773"/>
      <c r="AG64" s="772" t="s">
        <v>192</v>
      </c>
      <c r="AH64" s="772"/>
      <c r="AI64" s="772"/>
      <c r="AJ64" s="772"/>
      <c r="AK64" s="772"/>
      <c r="AL64" s="772"/>
      <c r="AM64" s="772"/>
      <c r="AN64" s="772"/>
      <c r="AO64" s="772"/>
      <c r="AP64" s="772"/>
      <c r="AQ64" s="772"/>
    </row>
    <row r="65" spans="1:43" ht="16.2" thickBot="1" x14ac:dyDescent="0.35">
      <c r="B65" s="773" t="s">
        <v>191</v>
      </c>
      <c r="C65" s="773" t="s">
        <v>193</v>
      </c>
      <c r="D65" s="773"/>
      <c r="E65" s="773"/>
      <c r="F65" s="773" t="s">
        <v>194</v>
      </c>
      <c r="G65" s="773"/>
      <c r="H65" s="773"/>
      <c r="J65" s="772" t="s">
        <v>191</v>
      </c>
      <c r="K65" s="778" t="s">
        <v>193</v>
      </c>
      <c r="L65" s="792"/>
      <c r="M65" s="792"/>
      <c r="N65" s="792"/>
      <c r="O65" s="779"/>
      <c r="S65" s="785" t="s">
        <v>191</v>
      </c>
      <c r="T65" s="785" t="s">
        <v>193</v>
      </c>
      <c r="U65" s="785"/>
      <c r="V65" s="785"/>
      <c r="W65" s="785"/>
      <c r="X65" s="785"/>
      <c r="Y65" s="785"/>
      <c r="Z65" s="785" t="s">
        <v>194</v>
      </c>
      <c r="AA65" s="785"/>
      <c r="AB65" s="785"/>
      <c r="AC65" s="785"/>
      <c r="AD65" s="785"/>
      <c r="AE65" s="785"/>
      <c r="AG65" s="790" t="s">
        <v>191</v>
      </c>
      <c r="AH65" s="778" t="s">
        <v>193</v>
      </c>
      <c r="AI65" s="792"/>
      <c r="AJ65" s="792"/>
      <c r="AK65" s="792"/>
      <c r="AL65" s="792"/>
      <c r="AM65" s="792"/>
      <c r="AN65" s="792"/>
      <c r="AO65" s="792"/>
      <c r="AP65" s="792"/>
      <c r="AQ65" s="779"/>
    </row>
    <row r="66" spans="1:43" ht="15.6" x14ac:dyDescent="0.3">
      <c r="B66" s="773"/>
      <c r="C66" s="216" t="s">
        <v>195</v>
      </c>
      <c r="D66" s="216" t="s">
        <v>196</v>
      </c>
      <c r="E66" s="216" t="s">
        <v>197</v>
      </c>
      <c r="F66" s="216" t="s">
        <v>195</v>
      </c>
      <c r="G66" s="216" t="s">
        <v>196</v>
      </c>
      <c r="H66" s="216" t="s">
        <v>197</v>
      </c>
      <c r="J66" s="772"/>
      <c r="K66" s="217" t="s">
        <v>195</v>
      </c>
      <c r="L66" s="217" t="s">
        <v>196</v>
      </c>
      <c r="M66" s="217" t="s">
        <v>197</v>
      </c>
      <c r="N66" s="217" t="s">
        <v>198</v>
      </c>
      <c r="O66" s="217" t="s">
        <v>199</v>
      </c>
      <c r="S66" s="805"/>
      <c r="T66" s="782" t="s">
        <v>195</v>
      </c>
      <c r="U66" s="783"/>
      <c r="V66" s="782" t="s">
        <v>196</v>
      </c>
      <c r="W66" s="783"/>
      <c r="X66" s="780" t="s">
        <v>197</v>
      </c>
      <c r="Y66" s="781"/>
      <c r="Z66" s="782" t="s">
        <v>195</v>
      </c>
      <c r="AA66" s="783"/>
      <c r="AB66" s="782" t="s">
        <v>196</v>
      </c>
      <c r="AC66" s="783"/>
      <c r="AD66" s="780" t="s">
        <v>197</v>
      </c>
      <c r="AE66" s="781"/>
      <c r="AG66" s="791"/>
      <c r="AH66" s="772" t="s">
        <v>195</v>
      </c>
      <c r="AI66" s="772"/>
      <c r="AJ66" s="772" t="s">
        <v>196</v>
      </c>
      <c r="AK66" s="772"/>
      <c r="AL66" s="784" t="s">
        <v>197</v>
      </c>
      <c r="AM66" s="784"/>
      <c r="AN66" s="778" t="s">
        <v>198</v>
      </c>
      <c r="AO66" s="779"/>
      <c r="AP66" s="778" t="s">
        <v>199</v>
      </c>
      <c r="AQ66" s="779"/>
    </row>
    <row r="67" spans="1:43" ht="18.600000000000001" thickBot="1" x14ac:dyDescent="0.35">
      <c r="B67" s="794">
        <v>5</v>
      </c>
      <c r="C67" s="274">
        <f t="shared" ref="C67:C76" si="22">IF(system_area&lt;=1,U68,IF(system_area&gt;=10,T68,U68-(U68-T68)*LOG10(system_area)))</f>
        <v>-1.7</v>
      </c>
      <c r="D67" s="274">
        <f t="shared" ref="D67:D76" si="23">IF(system_area&lt;=1,W68,IF(system_area&gt;=10,V68,W68-(W68-V68)*LOG10(system_area)))</f>
        <v>-1.2</v>
      </c>
      <c r="E67" s="274">
        <f t="shared" ref="E67:E76" si="24">IF(system_area&lt;=1,Y68,IF(system_area&gt;=10,X68,Y68-(Y68-X68)*LOG10(system_area)))</f>
        <v>-0.6</v>
      </c>
      <c r="F67" s="274">
        <f t="shared" ref="F67:F76" si="25">IF(system_area&lt;=1,AA68,IF(system_area&gt;=10,Z68,AA68-(AA68-Z68)*LOG10(system_area)))</f>
        <v>-2.2999999999999998</v>
      </c>
      <c r="G67" s="274">
        <f t="shared" ref="G67:G76" si="26">IF(system_area&lt;=1,AC68,IF(system_area&gt;=10,AB68,AC68-(AC68-AB68)*LOG10(system_area)))</f>
        <v>-1.3</v>
      </c>
      <c r="H67" s="274">
        <f t="shared" ref="H67:H76" si="27">IF(system_area&lt;=1,AE68,IF(system_area&gt;=10,AD68,AE68-(AE68-AD68)*LOG10(system_area)))</f>
        <v>-0.8</v>
      </c>
      <c r="J67" s="796">
        <v>5</v>
      </c>
      <c r="K67" s="222">
        <f t="shared" ref="K67:K76" si="28">IF(system_area&lt;=1,AI68,IF(system_area&gt;=10,AH68,AI68-(AI68-AH68)*LOG10(system_area)))</f>
        <v>-1.7</v>
      </c>
      <c r="L67" s="222">
        <f t="shared" ref="L67:L76" si="29">IF(system_area&lt;=1,AK68,IF(system_area&gt;=10,AJ68,AK68-(AK68-AJ68)*LOG10(system_area)))</f>
        <v>-1.2</v>
      </c>
      <c r="M67" s="222">
        <f t="shared" ref="M67:M76" si="30">IF(system_area&lt;=1,AM68,IF(system_area&gt;=10,AL68,AM68-(AM68-AL68)*LOG10(system_area)))</f>
        <v>-0.6</v>
      </c>
      <c r="N67" s="222">
        <f t="shared" ref="N67:N76" si="31">IF(system_area&lt;=1,AO68,IF(system_area&gt;=10,AN68,AO68-(AO68-AN68)*LOG10(system_area)))</f>
        <v>-0.6</v>
      </c>
      <c r="O67" s="222">
        <f t="shared" ref="O67:O76" si="32">IF(system_area&lt;=1,AQ68,IF(system_area&gt;=10,AP68,AQ68-(AQ68-AP68)*LOG10(system_area)))</f>
        <v>-0.6</v>
      </c>
      <c r="S67" s="805"/>
      <c r="T67" s="394" t="s">
        <v>200</v>
      </c>
      <c r="U67" s="395" t="s">
        <v>201</v>
      </c>
      <c r="V67" s="394" t="s">
        <v>200</v>
      </c>
      <c r="W67" s="395" t="s">
        <v>201</v>
      </c>
      <c r="X67" s="394" t="s">
        <v>200</v>
      </c>
      <c r="Y67" s="395" t="s">
        <v>201</v>
      </c>
      <c r="Z67" s="394" t="s">
        <v>200</v>
      </c>
      <c r="AA67" s="395" t="s">
        <v>201</v>
      </c>
      <c r="AB67" s="394" t="s">
        <v>200</v>
      </c>
      <c r="AC67" s="395" t="s">
        <v>201</v>
      </c>
      <c r="AD67" s="394" t="s">
        <v>200</v>
      </c>
      <c r="AE67" s="395" t="s">
        <v>201</v>
      </c>
      <c r="AG67" s="806"/>
      <c r="AH67" s="224" t="s">
        <v>200</v>
      </c>
      <c r="AI67" s="224" t="s">
        <v>201</v>
      </c>
      <c r="AJ67" s="224" t="s">
        <v>200</v>
      </c>
      <c r="AK67" s="224" t="s">
        <v>201</v>
      </c>
      <c r="AL67" s="224" t="s">
        <v>200</v>
      </c>
      <c r="AM67" s="224" t="s">
        <v>201</v>
      </c>
      <c r="AN67" s="225" t="s">
        <v>200</v>
      </c>
      <c r="AO67" s="225" t="s">
        <v>201</v>
      </c>
      <c r="AP67" s="224" t="s">
        <v>200</v>
      </c>
      <c r="AQ67" s="224" t="s">
        <v>201</v>
      </c>
    </row>
    <row r="68" spans="1:43" ht="15.6" x14ac:dyDescent="0.3">
      <c r="B68" s="795"/>
      <c r="C68" s="275">
        <f t="shared" si="22"/>
        <v>0</v>
      </c>
      <c r="D68" s="275">
        <f t="shared" si="23"/>
        <v>0</v>
      </c>
      <c r="E68" s="275">
        <f t="shared" si="24"/>
        <v>0</v>
      </c>
      <c r="F68" s="275">
        <f t="shared" si="25"/>
        <v>-2.2999999999999998</v>
      </c>
      <c r="G68" s="275">
        <f t="shared" si="26"/>
        <v>-1.3</v>
      </c>
      <c r="H68" s="275">
        <f t="shared" si="27"/>
        <v>-0.8</v>
      </c>
      <c r="J68" s="797"/>
      <c r="K68" s="226">
        <f t="shared" si="28"/>
        <v>0</v>
      </c>
      <c r="L68" s="226">
        <f t="shared" si="29"/>
        <v>0</v>
      </c>
      <c r="M68" s="226">
        <f t="shared" si="30"/>
        <v>0</v>
      </c>
      <c r="N68" s="226">
        <f t="shared" si="31"/>
        <v>-0.6</v>
      </c>
      <c r="O68" s="226">
        <f t="shared" si="32"/>
        <v>0.2</v>
      </c>
      <c r="S68" s="774">
        <v>5</v>
      </c>
      <c r="T68" s="396">
        <v>-1.7</v>
      </c>
      <c r="U68" s="397">
        <v>-2.5</v>
      </c>
      <c r="V68" s="396">
        <v>-1.2</v>
      </c>
      <c r="W68" s="397">
        <v>-2</v>
      </c>
      <c r="X68" s="396">
        <v>-0.6</v>
      </c>
      <c r="Y68" s="397">
        <v>-1.2</v>
      </c>
      <c r="Z68" s="399">
        <v>-2.2999999999999998</v>
      </c>
      <c r="AA68" s="389">
        <v>-2.5</v>
      </c>
      <c r="AB68" s="399">
        <v>-1.3</v>
      </c>
      <c r="AC68" s="389">
        <v>-2</v>
      </c>
      <c r="AD68" s="399">
        <v>-0.8</v>
      </c>
      <c r="AE68" s="389">
        <v>-1.2</v>
      </c>
      <c r="AG68" s="776">
        <v>5</v>
      </c>
      <c r="AH68" s="221">
        <v>-1.7</v>
      </c>
      <c r="AI68" s="221">
        <v>-2.5</v>
      </c>
      <c r="AJ68" s="221">
        <v>-1.2</v>
      </c>
      <c r="AK68" s="221">
        <v>-2</v>
      </c>
      <c r="AL68" s="221">
        <v>-0.6</v>
      </c>
      <c r="AM68" s="227">
        <v>-1.2</v>
      </c>
      <c r="AN68" s="228">
        <v>-0.6</v>
      </c>
      <c r="AO68" s="229">
        <v>-0.6</v>
      </c>
      <c r="AP68" s="230">
        <v>-0.6</v>
      </c>
      <c r="AQ68" s="231">
        <v>-0.6</v>
      </c>
    </row>
    <row r="69" spans="1:43" ht="16.2" thickBot="1" x14ac:dyDescent="0.35">
      <c r="B69" s="794">
        <v>15</v>
      </c>
      <c r="C69" s="274">
        <f t="shared" si="22"/>
        <v>-0.9</v>
      </c>
      <c r="D69" s="274">
        <f t="shared" si="23"/>
        <v>-0.8</v>
      </c>
      <c r="E69" s="274">
        <f t="shared" si="24"/>
        <v>-0.3</v>
      </c>
      <c r="F69" s="276">
        <f t="shared" si="25"/>
        <v>-2.5</v>
      </c>
      <c r="G69" s="276">
        <f t="shared" si="26"/>
        <v>-1.3</v>
      </c>
      <c r="H69" s="276">
        <f t="shared" si="27"/>
        <v>-0.9</v>
      </c>
      <c r="J69" s="796">
        <v>15</v>
      </c>
      <c r="K69" s="222">
        <f t="shared" si="28"/>
        <v>-0.9</v>
      </c>
      <c r="L69" s="222">
        <f t="shared" si="29"/>
        <v>-0.8</v>
      </c>
      <c r="M69" s="222">
        <f t="shared" si="30"/>
        <v>-0.3</v>
      </c>
      <c r="N69" s="222">
        <f t="shared" si="31"/>
        <v>-0.4</v>
      </c>
      <c r="O69" s="222">
        <f t="shared" si="32"/>
        <v>-1</v>
      </c>
      <c r="S69" s="775"/>
      <c r="T69" s="398">
        <v>0</v>
      </c>
      <c r="U69" s="390">
        <v>0</v>
      </c>
      <c r="V69" s="398">
        <v>0</v>
      </c>
      <c r="W69" s="390">
        <v>0</v>
      </c>
      <c r="X69" s="398">
        <v>0</v>
      </c>
      <c r="Y69" s="390">
        <v>0</v>
      </c>
      <c r="Z69" s="398">
        <v>-2.2999999999999998</v>
      </c>
      <c r="AA69" s="390">
        <v>-2.5</v>
      </c>
      <c r="AB69" s="398">
        <v>-1.3</v>
      </c>
      <c r="AC69" s="390">
        <v>-2</v>
      </c>
      <c r="AD69" s="398">
        <v>-0.8</v>
      </c>
      <c r="AE69" s="390">
        <v>-1.2</v>
      </c>
      <c r="AG69" s="777"/>
      <c r="AH69" s="230">
        <v>0</v>
      </c>
      <c r="AI69" s="231">
        <v>0</v>
      </c>
      <c r="AJ69" s="230">
        <v>0</v>
      </c>
      <c r="AK69" s="231">
        <v>0</v>
      </c>
      <c r="AL69" s="230">
        <v>0</v>
      </c>
      <c r="AM69" s="234">
        <v>0</v>
      </c>
      <c r="AN69" s="235">
        <v>-0.6</v>
      </c>
      <c r="AO69" s="236">
        <v>-0.6</v>
      </c>
      <c r="AP69" s="230">
        <v>0.2</v>
      </c>
      <c r="AQ69" s="231">
        <v>0.2</v>
      </c>
    </row>
    <row r="70" spans="1:43" ht="15.6" x14ac:dyDescent="0.3">
      <c r="B70" s="795"/>
      <c r="C70" s="275">
        <f t="shared" si="22"/>
        <v>0.2</v>
      </c>
      <c r="D70" s="275">
        <f t="shared" si="23"/>
        <v>0.2</v>
      </c>
      <c r="E70" s="275">
        <f t="shared" si="24"/>
        <v>0.2</v>
      </c>
      <c r="F70" s="275">
        <f t="shared" si="25"/>
        <v>-2.5</v>
      </c>
      <c r="G70" s="275">
        <f t="shared" si="26"/>
        <v>-1.3</v>
      </c>
      <c r="H70" s="275">
        <f t="shared" si="27"/>
        <v>-0.9</v>
      </c>
      <c r="J70" s="797"/>
      <c r="K70" s="226">
        <f t="shared" si="28"/>
        <v>0.2</v>
      </c>
      <c r="L70" s="226">
        <f t="shared" si="29"/>
        <v>0.2</v>
      </c>
      <c r="M70" s="226">
        <f t="shared" si="30"/>
        <v>0.2</v>
      </c>
      <c r="N70" s="226">
        <f t="shared" si="31"/>
        <v>0</v>
      </c>
      <c r="O70" s="226">
        <f t="shared" si="32"/>
        <v>0</v>
      </c>
      <c r="S70" s="774">
        <v>15</v>
      </c>
      <c r="T70" s="396">
        <v>-0.9</v>
      </c>
      <c r="U70" s="397">
        <v>-2</v>
      </c>
      <c r="V70" s="396">
        <v>-0.8</v>
      </c>
      <c r="W70" s="397">
        <v>-1.5</v>
      </c>
      <c r="X70" s="399">
        <v>-0.3</v>
      </c>
      <c r="Y70" s="389">
        <v>-0.3</v>
      </c>
      <c r="Z70" s="399">
        <v>-2.5</v>
      </c>
      <c r="AA70" s="389">
        <v>-2.8</v>
      </c>
      <c r="AB70" s="399">
        <v>-1.3</v>
      </c>
      <c r="AC70" s="389">
        <v>-2</v>
      </c>
      <c r="AD70" s="399">
        <v>-0.9</v>
      </c>
      <c r="AE70" s="389">
        <v>-1.2</v>
      </c>
      <c r="AG70" s="776">
        <v>15</v>
      </c>
      <c r="AH70" s="221">
        <v>-0.9</v>
      </c>
      <c r="AI70" s="221">
        <v>-2</v>
      </c>
      <c r="AJ70" s="221">
        <v>-0.8</v>
      </c>
      <c r="AK70" s="221">
        <v>-1.5</v>
      </c>
      <c r="AL70" s="230">
        <v>-0.3</v>
      </c>
      <c r="AM70" s="231">
        <v>-0.3</v>
      </c>
      <c r="AN70" s="230">
        <v>-0.4</v>
      </c>
      <c r="AO70" s="231">
        <v>-0.4</v>
      </c>
      <c r="AP70" s="237">
        <v>-1</v>
      </c>
      <c r="AQ70" s="237">
        <v>-1.5</v>
      </c>
    </row>
    <row r="71" spans="1:43" ht="16.2" thickBot="1" x14ac:dyDescent="0.35">
      <c r="B71" s="794">
        <v>30</v>
      </c>
      <c r="C71" s="274">
        <f t="shared" si="22"/>
        <v>-0.5</v>
      </c>
      <c r="D71" s="274">
        <f t="shared" si="23"/>
        <v>-0.5</v>
      </c>
      <c r="E71" s="274">
        <f t="shared" si="24"/>
        <v>-0.2</v>
      </c>
      <c r="F71" s="276">
        <f t="shared" si="25"/>
        <v>-1.1000000000000001</v>
      </c>
      <c r="G71" s="276">
        <f t="shared" si="26"/>
        <v>-0.8</v>
      </c>
      <c r="H71" s="276">
        <f t="shared" si="27"/>
        <v>-0.8</v>
      </c>
      <c r="J71" s="796">
        <v>30</v>
      </c>
      <c r="K71" s="222">
        <f t="shared" si="28"/>
        <v>-0.5</v>
      </c>
      <c r="L71" s="222">
        <f t="shared" si="29"/>
        <v>-0.5</v>
      </c>
      <c r="M71" s="222">
        <f t="shared" si="30"/>
        <v>-0.2</v>
      </c>
      <c r="N71" s="222">
        <f t="shared" si="31"/>
        <v>-0.4</v>
      </c>
      <c r="O71" s="222">
        <f t="shared" si="32"/>
        <v>-0.5</v>
      </c>
      <c r="S71" s="775"/>
      <c r="T71" s="398">
        <v>0.2</v>
      </c>
      <c r="U71" s="390">
        <v>0.2</v>
      </c>
      <c r="V71" s="398">
        <v>0.2</v>
      </c>
      <c r="W71" s="390">
        <v>0.2</v>
      </c>
      <c r="X71" s="398">
        <v>0.2</v>
      </c>
      <c r="Y71" s="390">
        <v>0.2</v>
      </c>
      <c r="Z71" s="398">
        <v>-2.5</v>
      </c>
      <c r="AA71" s="390">
        <v>-2.8</v>
      </c>
      <c r="AB71" s="398">
        <v>-1.3</v>
      </c>
      <c r="AC71" s="390">
        <v>-2</v>
      </c>
      <c r="AD71" s="398">
        <v>-0.9</v>
      </c>
      <c r="AE71" s="390">
        <v>-1.2</v>
      </c>
      <c r="AG71" s="777"/>
      <c r="AH71" s="230">
        <v>0.2</v>
      </c>
      <c r="AI71" s="231">
        <v>0.2</v>
      </c>
      <c r="AJ71" s="230">
        <v>0.2</v>
      </c>
      <c r="AK71" s="231">
        <v>0.2</v>
      </c>
      <c r="AL71" s="230">
        <v>0.2</v>
      </c>
      <c r="AM71" s="231">
        <v>0.2</v>
      </c>
      <c r="AN71" s="230">
        <v>0</v>
      </c>
      <c r="AO71" s="231">
        <v>0</v>
      </c>
      <c r="AP71" s="237">
        <v>0</v>
      </c>
      <c r="AQ71" s="237">
        <v>0</v>
      </c>
    </row>
    <row r="72" spans="1:43" ht="15.6" x14ac:dyDescent="0.3">
      <c r="B72" s="795"/>
      <c r="C72" s="275">
        <f t="shared" si="22"/>
        <v>0.7</v>
      </c>
      <c r="D72" s="275">
        <f t="shared" si="23"/>
        <v>0.7</v>
      </c>
      <c r="E72" s="275">
        <f t="shared" si="24"/>
        <v>0.4</v>
      </c>
      <c r="F72" s="275">
        <f t="shared" si="25"/>
        <v>-1.1000000000000001</v>
      </c>
      <c r="G72" s="275">
        <f t="shared" si="26"/>
        <v>-0.8</v>
      </c>
      <c r="H72" s="275">
        <f t="shared" si="27"/>
        <v>-0.8</v>
      </c>
      <c r="J72" s="797"/>
      <c r="K72" s="226">
        <f t="shared" si="28"/>
        <v>0.7</v>
      </c>
      <c r="L72" s="226">
        <f t="shared" si="29"/>
        <v>0.7</v>
      </c>
      <c r="M72" s="226">
        <f t="shared" si="30"/>
        <v>0.4</v>
      </c>
      <c r="N72" s="226">
        <f t="shared" si="31"/>
        <v>0</v>
      </c>
      <c r="O72" s="226">
        <f t="shared" si="32"/>
        <v>0</v>
      </c>
      <c r="S72" s="774">
        <v>30</v>
      </c>
      <c r="T72" s="396">
        <v>-0.5</v>
      </c>
      <c r="U72" s="397">
        <v>-1.5</v>
      </c>
      <c r="V72" s="396">
        <v>-0.5</v>
      </c>
      <c r="W72" s="397">
        <v>-1.5</v>
      </c>
      <c r="X72" s="399">
        <v>-0.2</v>
      </c>
      <c r="Y72" s="389">
        <v>-0.2</v>
      </c>
      <c r="Z72" s="399">
        <v>-1.1000000000000001</v>
      </c>
      <c r="AA72" s="389">
        <v>-2.2999999999999998</v>
      </c>
      <c r="AB72" s="399">
        <v>-0.8</v>
      </c>
      <c r="AC72" s="389">
        <v>-1.5</v>
      </c>
      <c r="AD72" s="399">
        <v>-0.8</v>
      </c>
      <c r="AE72" s="389">
        <v>-0.8</v>
      </c>
      <c r="AG72" s="776">
        <v>30</v>
      </c>
      <c r="AH72" s="221">
        <v>-0.5</v>
      </c>
      <c r="AI72" s="221">
        <v>-1.5</v>
      </c>
      <c r="AJ72" s="221">
        <v>-0.5</v>
      </c>
      <c r="AK72" s="221">
        <v>-1.5</v>
      </c>
      <c r="AL72" s="230">
        <v>-0.2</v>
      </c>
      <c r="AM72" s="231">
        <v>-0.2</v>
      </c>
      <c r="AN72" s="230">
        <v>-0.4</v>
      </c>
      <c r="AO72" s="231">
        <v>-0.4</v>
      </c>
      <c r="AP72" s="230">
        <v>-0.5</v>
      </c>
      <c r="AQ72" s="231">
        <v>-0.5</v>
      </c>
    </row>
    <row r="73" spans="1:43" ht="16.2" thickBot="1" x14ac:dyDescent="0.35">
      <c r="B73" s="794">
        <v>45</v>
      </c>
      <c r="C73" s="274">
        <f t="shared" si="22"/>
        <v>0</v>
      </c>
      <c r="D73" s="274">
        <f t="shared" si="23"/>
        <v>0</v>
      </c>
      <c r="E73" s="274">
        <f t="shared" si="24"/>
        <v>0</v>
      </c>
      <c r="F73" s="276">
        <f t="shared" si="25"/>
        <v>-0.6</v>
      </c>
      <c r="G73" s="276">
        <f t="shared" si="26"/>
        <v>-0.5</v>
      </c>
      <c r="H73" s="276">
        <f t="shared" si="27"/>
        <v>-0.7</v>
      </c>
      <c r="J73" s="796">
        <v>45</v>
      </c>
      <c r="K73" s="222">
        <f t="shared" si="28"/>
        <v>0</v>
      </c>
      <c r="L73" s="222">
        <f t="shared" si="29"/>
        <v>0</v>
      </c>
      <c r="M73" s="222">
        <f t="shared" si="30"/>
        <v>0</v>
      </c>
      <c r="N73" s="222">
        <f t="shared" si="31"/>
        <v>-0.2</v>
      </c>
      <c r="O73" s="222">
        <f t="shared" si="32"/>
        <v>-0.3</v>
      </c>
      <c r="S73" s="775"/>
      <c r="T73" s="398">
        <v>0.7</v>
      </c>
      <c r="U73" s="390">
        <v>0.7</v>
      </c>
      <c r="V73" s="398">
        <v>0.7</v>
      </c>
      <c r="W73" s="390">
        <v>0.7</v>
      </c>
      <c r="X73" s="398">
        <v>0.4</v>
      </c>
      <c r="Y73" s="390">
        <v>0.4</v>
      </c>
      <c r="Z73" s="398">
        <v>-1.1000000000000001</v>
      </c>
      <c r="AA73" s="390">
        <v>-2.2999999999999998</v>
      </c>
      <c r="AB73" s="398">
        <v>-0.8</v>
      </c>
      <c r="AC73" s="390">
        <v>-1.5</v>
      </c>
      <c r="AD73" s="398">
        <v>-0.8</v>
      </c>
      <c r="AE73" s="390">
        <v>-0.8</v>
      </c>
      <c r="AG73" s="777"/>
      <c r="AH73" s="230">
        <v>0.7</v>
      </c>
      <c r="AI73" s="231">
        <v>0.7</v>
      </c>
      <c r="AJ73" s="230">
        <v>0.7</v>
      </c>
      <c r="AK73" s="231">
        <v>0.7</v>
      </c>
      <c r="AL73" s="230">
        <v>0.4</v>
      </c>
      <c r="AM73" s="231">
        <v>0.4</v>
      </c>
      <c r="AN73" s="230">
        <v>0</v>
      </c>
      <c r="AO73" s="231">
        <v>0</v>
      </c>
      <c r="AP73" s="230">
        <v>0</v>
      </c>
      <c r="AQ73" s="231">
        <v>0</v>
      </c>
    </row>
    <row r="74" spans="1:43" ht="15.6" x14ac:dyDescent="0.3">
      <c r="B74" s="795"/>
      <c r="C74" s="275">
        <f t="shared" si="22"/>
        <v>0.7</v>
      </c>
      <c r="D74" s="275">
        <f t="shared" si="23"/>
        <v>0.7</v>
      </c>
      <c r="E74" s="275">
        <f t="shared" si="24"/>
        <v>0.6</v>
      </c>
      <c r="F74" s="275">
        <f t="shared" si="25"/>
        <v>-0.6</v>
      </c>
      <c r="G74" s="275">
        <f t="shared" si="26"/>
        <v>-0.5</v>
      </c>
      <c r="H74" s="275">
        <f t="shared" si="27"/>
        <v>-0.7</v>
      </c>
      <c r="J74" s="797"/>
      <c r="K74" s="226">
        <f t="shared" si="28"/>
        <v>0.7</v>
      </c>
      <c r="L74" s="226">
        <f t="shared" si="29"/>
        <v>0.7</v>
      </c>
      <c r="M74" s="226">
        <f t="shared" si="30"/>
        <v>0.6</v>
      </c>
      <c r="N74" s="226">
        <f t="shared" si="31"/>
        <v>0</v>
      </c>
      <c r="O74" s="226">
        <f t="shared" si="32"/>
        <v>0</v>
      </c>
      <c r="S74" s="774">
        <v>45</v>
      </c>
      <c r="T74" s="399">
        <v>0</v>
      </c>
      <c r="U74" s="389">
        <v>0</v>
      </c>
      <c r="V74" s="399">
        <v>0</v>
      </c>
      <c r="W74" s="389">
        <v>0</v>
      </c>
      <c r="X74" s="399">
        <v>0</v>
      </c>
      <c r="Y74" s="389">
        <v>0</v>
      </c>
      <c r="Z74" s="399">
        <v>-0.6</v>
      </c>
      <c r="AA74" s="389">
        <v>-1.3</v>
      </c>
      <c r="AB74" s="399">
        <v>-0.5</v>
      </c>
      <c r="AC74" s="389">
        <v>-0.5</v>
      </c>
      <c r="AD74" s="399">
        <v>-0.7</v>
      </c>
      <c r="AE74" s="389">
        <v>-0.7</v>
      </c>
      <c r="AG74" s="776">
        <v>45</v>
      </c>
      <c r="AH74" s="230">
        <v>0</v>
      </c>
      <c r="AI74" s="231">
        <v>0</v>
      </c>
      <c r="AJ74" s="230">
        <v>0</v>
      </c>
      <c r="AK74" s="231">
        <v>0</v>
      </c>
      <c r="AL74" s="230">
        <v>0</v>
      </c>
      <c r="AM74" s="231">
        <v>0</v>
      </c>
      <c r="AN74" s="230">
        <v>-0.2</v>
      </c>
      <c r="AO74" s="231">
        <v>-0.2</v>
      </c>
      <c r="AP74" s="230">
        <v>-0.3</v>
      </c>
      <c r="AQ74" s="231">
        <v>-0.3</v>
      </c>
    </row>
    <row r="75" spans="1:43" ht="16.2" thickBot="1" x14ac:dyDescent="0.35">
      <c r="B75" s="216">
        <v>60</v>
      </c>
      <c r="C75" s="277">
        <f t="shared" si="22"/>
        <v>0.7</v>
      </c>
      <c r="D75" s="277">
        <f t="shared" si="23"/>
        <v>0.7</v>
      </c>
      <c r="E75" s="277">
        <f t="shared" si="24"/>
        <v>0.7</v>
      </c>
      <c r="F75" s="277">
        <f t="shared" si="25"/>
        <v>-0.5</v>
      </c>
      <c r="G75" s="277">
        <f t="shared" si="26"/>
        <v>-0.5</v>
      </c>
      <c r="H75" s="277">
        <f t="shared" si="27"/>
        <v>-0.5</v>
      </c>
      <c r="J75" s="217">
        <v>60</v>
      </c>
      <c r="K75" s="217">
        <f t="shared" si="28"/>
        <v>0.7</v>
      </c>
      <c r="L75" s="217">
        <f t="shared" si="29"/>
        <v>0.7</v>
      </c>
      <c r="M75" s="217">
        <f t="shared" si="30"/>
        <v>0.7</v>
      </c>
      <c r="N75" s="217">
        <f t="shared" si="31"/>
        <v>-0.2</v>
      </c>
      <c r="O75" s="217">
        <f t="shared" si="32"/>
        <v>-0.3</v>
      </c>
      <c r="S75" s="775"/>
      <c r="T75" s="398">
        <v>0.7</v>
      </c>
      <c r="U75" s="390">
        <v>0.7</v>
      </c>
      <c r="V75" s="398">
        <v>0.7</v>
      </c>
      <c r="W75" s="390">
        <v>0.7</v>
      </c>
      <c r="X75" s="398">
        <v>0.6</v>
      </c>
      <c r="Y75" s="390">
        <v>0.6</v>
      </c>
      <c r="Z75" s="398">
        <v>-0.6</v>
      </c>
      <c r="AA75" s="390">
        <v>-1.3</v>
      </c>
      <c r="AB75" s="398">
        <v>-0.5</v>
      </c>
      <c r="AC75" s="390">
        <v>-0.5</v>
      </c>
      <c r="AD75" s="398">
        <v>-0.7</v>
      </c>
      <c r="AE75" s="390">
        <v>-0.7</v>
      </c>
      <c r="AG75" s="777"/>
      <c r="AH75" s="230">
        <v>0.7</v>
      </c>
      <c r="AI75" s="231">
        <v>0.7</v>
      </c>
      <c r="AJ75" s="230">
        <v>0.7</v>
      </c>
      <c r="AK75" s="231">
        <v>0.7</v>
      </c>
      <c r="AL75" s="230">
        <v>0.6</v>
      </c>
      <c r="AM75" s="231">
        <v>0.6</v>
      </c>
      <c r="AN75" s="230">
        <v>0</v>
      </c>
      <c r="AO75" s="231">
        <v>0</v>
      </c>
      <c r="AP75" s="230">
        <v>0</v>
      </c>
      <c r="AQ75" s="231">
        <v>0</v>
      </c>
    </row>
    <row r="76" spans="1:43" ht="16.2" thickBot="1" x14ac:dyDescent="0.35">
      <c r="B76" s="216">
        <v>75</v>
      </c>
      <c r="C76" s="277">
        <f t="shared" si="22"/>
        <v>0.8</v>
      </c>
      <c r="D76" s="277">
        <f t="shared" si="23"/>
        <v>0.8</v>
      </c>
      <c r="E76" s="277">
        <f t="shared" si="24"/>
        <v>0.8</v>
      </c>
      <c r="F76" s="277">
        <f t="shared" si="25"/>
        <v>-0.5</v>
      </c>
      <c r="G76" s="277">
        <f t="shared" si="26"/>
        <v>-0.5</v>
      </c>
      <c r="H76" s="277">
        <f t="shared" si="27"/>
        <v>-0.5</v>
      </c>
      <c r="J76" s="217">
        <v>75</v>
      </c>
      <c r="K76" s="217">
        <f t="shared" si="28"/>
        <v>0.8</v>
      </c>
      <c r="L76" s="217">
        <f t="shared" si="29"/>
        <v>0.8</v>
      </c>
      <c r="M76" s="217">
        <f t="shared" si="30"/>
        <v>0.8</v>
      </c>
      <c r="N76" s="217">
        <f t="shared" si="31"/>
        <v>-0.2</v>
      </c>
      <c r="O76" s="217">
        <f t="shared" si="32"/>
        <v>-0.3</v>
      </c>
      <c r="S76" s="393">
        <v>60</v>
      </c>
      <c r="T76" s="400">
        <v>0.7</v>
      </c>
      <c r="U76" s="392">
        <v>0.7</v>
      </c>
      <c r="V76" s="400">
        <v>0.7</v>
      </c>
      <c r="W76" s="392">
        <v>0.7</v>
      </c>
      <c r="X76" s="400">
        <v>0.7</v>
      </c>
      <c r="Y76" s="392">
        <v>0.7</v>
      </c>
      <c r="Z76" s="391">
        <v>-0.5</v>
      </c>
      <c r="AA76" s="401">
        <v>-1</v>
      </c>
      <c r="AB76" s="400">
        <v>-0.5</v>
      </c>
      <c r="AC76" s="392">
        <v>-0.5</v>
      </c>
      <c r="AD76" s="400">
        <v>-0.5</v>
      </c>
      <c r="AE76" s="392">
        <v>-0.5</v>
      </c>
      <c r="AG76" s="221">
        <v>60</v>
      </c>
      <c r="AH76" s="230">
        <v>0.7</v>
      </c>
      <c r="AI76" s="231">
        <v>0.7</v>
      </c>
      <c r="AJ76" s="230">
        <v>0.7</v>
      </c>
      <c r="AK76" s="231">
        <v>0.7</v>
      </c>
      <c r="AL76" s="230">
        <v>0.7</v>
      </c>
      <c r="AM76" s="231">
        <v>0.7</v>
      </c>
      <c r="AN76" s="227">
        <v>-0.2</v>
      </c>
      <c r="AO76" s="239">
        <v>-0.2</v>
      </c>
      <c r="AP76" s="230">
        <v>-0.3</v>
      </c>
      <c r="AQ76" s="231">
        <v>-0.3</v>
      </c>
    </row>
    <row r="77" spans="1:43" ht="16.2" thickBot="1" x14ac:dyDescent="0.35">
      <c r="B77" s="240"/>
      <c r="C77" s="240"/>
      <c r="D77" s="240"/>
      <c r="E77" s="240"/>
      <c r="F77" s="240"/>
      <c r="G77" s="240"/>
      <c r="H77" s="240"/>
      <c r="S77" s="393">
        <v>75</v>
      </c>
      <c r="T77" s="400">
        <v>0.8</v>
      </c>
      <c r="U77" s="392">
        <v>0.8</v>
      </c>
      <c r="V77" s="400">
        <v>0.8</v>
      </c>
      <c r="W77" s="392">
        <v>0.8</v>
      </c>
      <c r="X77" s="400">
        <v>0.8</v>
      </c>
      <c r="Y77" s="392">
        <v>0.8</v>
      </c>
      <c r="Z77" s="391">
        <v>-0.5</v>
      </c>
      <c r="AA77" s="401">
        <v>-1</v>
      </c>
      <c r="AB77" s="400">
        <v>-0.5</v>
      </c>
      <c r="AC77" s="392">
        <v>-0.5</v>
      </c>
      <c r="AD77" s="400">
        <v>-0.5</v>
      </c>
      <c r="AE77" s="392">
        <v>-0.5</v>
      </c>
      <c r="AG77" s="221">
        <v>75</v>
      </c>
      <c r="AH77" s="230">
        <v>0.8</v>
      </c>
      <c r="AI77" s="231">
        <v>0.8</v>
      </c>
      <c r="AJ77" s="230">
        <v>0.8</v>
      </c>
      <c r="AK77" s="231">
        <v>0.8</v>
      </c>
      <c r="AL77" s="230">
        <v>0.8</v>
      </c>
      <c r="AM77" s="231">
        <v>0.8</v>
      </c>
      <c r="AN77" s="227">
        <v>-0.2</v>
      </c>
      <c r="AO77" s="239">
        <v>-0.2</v>
      </c>
      <c r="AP77" s="230">
        <v>-0.3</v>
      </c>
      <c r="AQ77" s="231">
        <v>-0.3</v>
      </c>
    </row>
    <row r="78" spans="1:43" ht="15.6" x14ac:dyDescent="0.3">
      <c r="A78" s="23" t="s">
        <v>202</v>
      </c>
      <c r="B78" s="798">
        <f>pente</f>
        <v>20</v>
      </c>
      <c r="C78" s="242">
        <f t="shared" ref="C78:H78" si="33">IF($B$44&lt;=$B$33, C67,IF(AND($B$44&gt;$B$33,$B$44&lt;=$B$35),C67+(($B$44-$B$33)*(C69-C67)/($B$35-$B$33)),IF(AND($B$44&gt;$B$35,$B$44&lt;=$B$37),C69+(($B$44-$B$35)*(C71-C69)/($B$37-$B$35)),IF(AND($B$44&gt;$B$37,$B$44&lt;=$B$39),C71+(($B$44-$B$37)*(C73-C71)/($B$39-$B$37)),IF(AND($B$44&gt;$B$39,$B$44&lt;=$B$41),C73+(($B$44-$B$39)*(C$41-C73)/($B$41-$B$39)),IF(AND($B$44&gt;$B$41,$B$44&lt;=$B$42),C$41+(($B$44-$B$41)*(C$42-C$41)/($B$42-$B$41)),0))))))</f>
        <v>-0.76666666666666672</v>
      </c>
      <c r="D78" s="242">
        <f t="shared" si="33"/>
        <v>-0.70000000000000007</v>
      </c>
      <c r="E78" s="242">
        <f t="shared" si="33"/>
        <v>-0.26666666666666666</v>
      </c>
      <c r="F78" s="242">
        <f t="shared" si="33"/>
        <v>-2.0333333333333332</v>
      </c>
      <c r="G78" s="242">
        <f t="shared" si="33"/>
        <v>-1.1333333333333333</v>
      </c>
      <c r="H78" s="242">
        <f t="shared" si="33"/>
        <v>-0.8666666666666667</v>
      </c>
      <c r="I78" s="23" t="s">
        <v>202</v>
      </c>
      <c r="J78" s="799">
        <f>pente</f>
        <v>20</v>
      </c>
      <c r="K78" s="242">
        <f t="shared" ref="K78:O78" si="34">IF($B$44&lt;=$B$33, K67,IF(AND($B$44&gt;$B$33,$B$44&lt;=$B$35),K67+(($B$44-$B$33)*(K69-K67)/($B$35-$B$33)),IF(AND($B$44&gt;$B$35,$B$44&lt;=$B$37),K69+(($B$44-$B$35)*(K71-K69)/($B$37-$B$35)),IF(AND($B$44&gt;$B$37,$B$44&lt;=$B$39),K71+(($B$44-$B$37)*(K73-K71)/($B$39-$B$37)),IF(AND($B$44&gt;$B$39,$B$44&lt;=$B$41),K73+(($B$44-$B$39)*(K$41-K73)/($B$41-$B$39)),IF(AND($B$44&gt;$B$41,$B$44&lt;=$B$42),K$41+(($B$44-$B$41)*(K$42-K$41)/($B$42-$B$41)),0))))))</f>
        <v>-0.76666666666666672</v>
      </c>
      <c r="L78" s="242">
        <f t="shared" si="34"/>
        <v>-0.70000000000000007</v>
      </c>
      <c r="M78" s="242">
        <f t="shared" si="34"/>
        <v>-0.26666666666666666</v>
      </c>
      <c r="N78" s="242">
        <f t="shared" si="34"/>
        <v>-0.4</v>
      </c>
      <c r="O78" s="242">
        <f t="shared" si="34"/>
        <v>-0.83333333333333337</v>
      </c>
    </row>
    <row r="79" spans="1:43" ht="15.6" x14ac:dyDescent="0.3">
      <c r="A79" s="23" t="s">
        <v>203</v>
      </c>
      <c r="B79" s="798"/>
      <c r="C79" s="242">
        <f t="shared" ref="C79:H79" si="35">IF($B$44&lt;=$B$33, C68,IF(AND($B$44&gt;$B$33,$B$44&lt;=$B$35),C68+(($B$44-$B$33)*(C70-C68)/($B$35-$B$33)),IF(AND($B$44&gt;$B$35,$B$44&lt;=$B$37),C70+(($B$44-$B$35)*(C72-C70)/($B$37-$B$35)),IF(AND($B$44&gt;$B$37,$B$44&lt;=$B$39),C72+(($B$44-$B$37)*(C74-C72)/($B$39-$B$37)),IF(AND($B$44&gt;$B$39,$B$44&lt;=$B$41),C74+(($B$44-$B$39)*(C$41-C74)/($B$41-$B$39)),IF(AND($B$44&gt;$B$41,$B$44&lt;=$B$42),C$41+(($B$44-$B$41)*(C$42-C$41)/($B$42-$B$41)),0))))))</f>
        <v>0.36666666666666664</v>
      </c>
      <c r="D79" s="242">
        <f t="shared" si="35"/>
        <v>0.36666666666666664</v>
      </c>
      <c r="E79" s="242">
        <f t="shared" si="35"/>
        <v>0.26666666666666666</v>
      </c>
      <c r="F79" s="242">
        <f t="shared" si="35"/>
        <v>-2.0333333333333332</v>
      </c>
      <c r="G79" s="242">
        <f t="shared" si="35"/>
        <v>-1.1333333333333333</v>
      </c>
      <c r="H79" s="242">
        <f t="shared" si="35"/>
        <v>-0.8666666666666667</v>
      </c>
      <c r="I79" s="23" t="s">
        <v>203</v>
      </c>
      <c r="J79" s="799"/>
      <c r="K79" s="242">
        <f t="shared" ref="K79:O79" si="36">IF($B$44&lt;=$B$33, K68,IF(AND($B$44&gt;$B$33,$B$44&lt;=$B$35),K68+(($B$44-$B$33)*(K70-K68)/($B$35-$B$33)),IF(AND($B$44&gt;$B$35,$B$44&lt;=$B$37),K70+(($B$44-$B$35)*(K72-K70)/($B$37-$B$35)),IF(AND($B$44&gt;$B$37,$B$44&lt;=$B$39),K72+(($B$44-$B$37)*(K74-K72)/($B$39-$B$37)),IF(AND($B$44&gt;$B$39,$B$44&lt;=$B$41),K74+(($B$44-$B$39)*(K$41-K74)/($B$41-$B$39)),IF(AND($B$44&gt;$B$41,$B$44&lt;=$B$42),K$41+(($B$44-$B$41)*(K$42-K$41)/($B$42-$B$41)),0))))))</f>
        <v>0.36666666666666664</v>
      </c>
      <c r="L79" s="242">
        <f t="shared" si="36"/>
        <v>0.36666666666666664</v>
      </c>
      <c r="M79" s="242">
        <f t="shared" si="36"/>
        <v>0.26666666666666666</v>
      </c>
      <c r="N79" s="242">
        <f t="shared" si="36"/>
        <v>0</v>
      </c>
      <c r="O79" s="242">
        <f t="shared" si="36"/>
        <v>0</v>
      </c>
    </row>
    <row r="80" spans="1:43" ht="18" x14ac:dyDescent="0.3">
      <c r="B80" s="240">
        <f>pente</f>
        <v>20</v>
      </c>
      <c r="C80" s="240"/>
      <c r="D80" s="240"/>
      <c r="E80" s="240"/>
      <c r="F80" s="240"/>
      <c r="G80" s="240"/>
      <c r="H80" s="240"/>
      <c r="S80" s="773" t="s">
        <v>189</v>
      </c>
      <c r="T80" s="773"/>
      <c r="U80" s="773"/>
      <c r="V80" s="773"/>
      <c r="W80" s="773"/>
      <c r="X80" s="773"/>
      <c r="Y80" s="773"/>
      <c r="Z80" s="773"/>
      <c r="AA80" s="773"/>
      <c r="AB80" s="773"/>
      <c r="AC80" s="773"/>
      <c r="AG80" s="772" t="s">
        <v>192</v>
      </c>
      <c r="AH80" s="772"/>
      <c r="AI80" s="772"/>
      <c r="AJ80" s="772"/>
      <c r="AK80" s="772"/>
      <c r="AL80" s="772"/>
      <c r="AM80" s="772"/>
      <c r="AN80" s="772"/>
      <c r="AO80" s="772"/>
    </row>
    <row r="81" spans="1:41" ht="18" x14ac:dyDescent="0.3">
      <c r="B81" s="787" t="s">
        <v>189</v>
      </c>
      <c r="C81" s="788"/>
      <c r="D81" s="788"/>
      <c r="E81" s="788"/>
      <c r="F81" s="788"/>
      <c r="G81" s="789"/>
      <c r="H81" s="240"/>
      <c r="J81" s="778" t="s">
        <v>190</v>
      </c>
      <c r="K81" s="792"/>
      <c r="L81" s="792"/>
      <c r="M81" s="792"/>
      <c r="N81" s="779"/>
      <c r="S81" s="773" t="s">
        <v>191</v>
      </c>
      <c r="T81" s="773" t="s">
        <v>204</v>
      </c>
      <c r="U81" s="773"/>
      <c r="V81" s="773"/>
      <c r="W81" s="773"/>
      <c r="X81" s="773"/>
      <c r="Y81" s="773"/>
      <c r="Z81" s="773"/>
      <c r="AA81" s="773"/>
      <c r="AB81" s="773"/>
      <c r="AC81" s="773"/>
      <c r="AG81" s="772" t="s">
        <v>191</v>
      </c>
      <c r="AH81" s="772" t="s">
        <v>204</v>
      </c>
      <c r="AI81" s="772"/>
      <c r="AJ81" s="772"/>
      <c r="AK81" s="772"/>
      <c r="AL81" s="772"/>
      <c r="AM81" s="772"/>
      <c r="AN81" s="772"/>
      <c r="AO81" s="772"/>
    </row>
    <row r="82" spans="1:41" ht="15.6" x14ac:dyDescent="0.3">
      <c r="B82" s="785" t="s">
        <v>191</v>
      </c>
      <c r="C82" s="787" t="s">
        <v>204</v>
      </c>
      <c r="D82" s="788"/>
      <c r="E82" s="788"/>
      <c r="F82" s="788"/>
      <c r="G82" s="789"/>
      <c r="H82" s="240"/>
      <c r="J82" s="790" t="s">
        <v>191</v>
      </c>
      <c r="K82" s="778" t="s">
        <v>204</v>
      </c>
      <c r="L82" s="792"/>
      <c r="M82" s="792"/>
      <c r="N82" s="779"/>
      <c r="S82" s="773"/>
      <c r="T82" s="773" t="s">
        <v>205</v>
      </c>
      <c r="U82" s="773"/>
      <c r="V82" s="773" t="s">
        <v>206</v>
      </c>
      <c r="W82" s="773"/>
      <c r="X82" s="773" t="s">
        <v>196</v>
      </c>
      <c r="Y82" s="773"/>
      <c r="Z82" s="773" t="s">
        <v>197</v>
      </c>
      <c r="AA82" s="773"/>
      <c r="AB82" s="773" t="s">
        <v>198</v>
      </c>
      <c r="AC82" s="773"/>
      <c r="AG82" s="772"/>
      <c r="AH82" s="772" t="s">
        <v>195</v>
      </c>
      <c r="AI82" s="772"/>
      <c r="AJ82" s="772" t="s">
        <v>196</v>
      </c>
      <c r="AK82" s="772"/>
      <c r="AL82" s="772" t="s">
        <v>197</v>
      </c>
      <c r="AM82" s="772"/>
      <c r="AN82" s="772" t="s">
        <v>198</v>
      </c>
      <c r="AO82" s="772"/>
    </row>
    <row r="83" spans="1:41" ht="18" x14ac:dyDescent="0.3">
      <c r="B83" s="786"/>
      <c r="C83" s="218" t="s">
        <v>205</v>
      </c>
      <c r="D83" s="218" t="s">
        <v>206</v>
      </c>
      <c r="E83" s="218" t="s">
        <v>196</v>
      </c>
      <c r="F83" s="218" t="s">
        <v>197</v>
      </c>
      <c r="G83" s="218" t="s">
        <v>198</v>
      </c>
      <c r="H83" s="240"/>
      <c r="J83" s="791"/>
      <c r="K83" s="219" t="s">
        <v>195</v>
      </c>
      <c r="L83" s="219" t="s">
        <v>196</v>
      </c>
      <c r="M83" s="219" t="s">
        <v>197</v>
      </c>
      <c r="N83" s="219" t="s">
        <v>198</v>
      </c>
      <c r="S83" s="773"/>
      <c r="T83" s="223" t="s">
        <v>200</v>
      </c>
      <c r="U83" s="223" t="s">
        <v>201</v>
      </c>
      <c r="V83" s="223" t="s">
        <v>200</v>
      </c>
      <c r="W83" s="223" t="s">
        <v>201</v>
      </c>
      <c r="X83" s="223" t="s">
        <v>200</v>
      </c>
      <c r="Y83" s="223" t="s">
        <v>201</v>
      </c>
      <c r="Z83" s="223" t="s">
        <v>200</v>
      </c>
      <c r="AA83" s="223" t="s">
        <v>201</v>
      </c>
      <c r="AB83" s="223" t="s">
        <v>200</v>
      </c>
      <c r="AC83" s="223" t="s">
        <v>201</v>
      </c>
      <c r="AG83" s="772"/>
      <c r="AH83" s="224" t="s">
        <v>200</v>
      </c>
      <c r="AI83" s="224" t="s">
        <v>201</v>
      </c>
      <c r="AJ83" s="224" t="s">
        <v>200</v>
      </c>
      <c r="AK83" s="224" t="s">
        <v>201</v>
      </c>
      <c r="AL83" s="224" t="s">
        <v>200</v>
      </c>
      <c r="AM83" s="224" t="s">
        <v>201</v>
      </c>
      <c r="AN83" s="224" t="s">
        <v>200</v>
      </c>
      <c r="AO83" s="224" t="s">
        <v>201</v>
      </c>
    </row>
    <row r="84" spans="1:41" ht="15.6" x14ac:dyDescent="0.3">
      <c r="B84" s="216">
        <v>5</v>
      </c>
      <c r="C84" s="238">
        <f t="shared" ref="C84:C89" si="37">IF(system_area&lt;=1,U84,IF(system_area&gt;=10,T84,U84-(U84-T84)*LOG10(system_area)))</f>
        <v>-2.1</v>
      </c>
      <c r="D84" s="238">
        <f t="shared" ref="D84:D89" si="38">IF(system_area&lt;=1,W84,IF(system_area&gt;=10,V84,W84-(W84-V84)*LOG10(system_area)))</f>
        <v>-2.1</v>
      </c>
      <c r="E84" s="238">
        <f t="shared" ref="E84:E89" si="39">IF(system_area&lt;=1,Y84,IF(system_area&gt;=10,X84,Y84-(Y84-X84)*LOG10(system_area)))</f>
        <v>-1.8</v>
      </c>
      <c r="F84" s="238">
        <f t="shared" ref="F84:F89" si="40">IF(system_area&lt;=1,AA84,IF(system_area&gt;=10,Z84,AA84-(AA84-Z84)*LOG10(system_area)))</f>
        <v>-0.6</v>
      </c>
      <c r="G84" s="238">
        <f t="shared" ref="G84:G89" si="41">IF(system_area&lt;=1,AC84,IF(system_area&gt;=10,AB84,AC84-(AC84-AB84)*LOG10(system_area)))</f>
        <v>-0.5</v>
      </c>
      <c r="H84" s="243"/>
      <c r="I84" s="14"/>
      <c r="J84" s="217">
        <v>5</v>
      </c>
      <c r="K84" s="217">
        <f t="shared" ref="K84:K89" si="42">IF(system_area&lt;=1,AI84,IF(system_area&gt;=10,AH84,AI84-(AI84-AH84)*LOG10(system_area)))</f>
        <v>-1.6</v>
      </c>
      <c r="L84" s="217">
        <f t="shared" ref="L84:L89" si="43">IF(system_area&lt;=1,AK84,IF(system_area&gt;=10,AJ84,AK84-(AK84-AJ84)*LOG10(system_area)))</f>
        <v>-1.3</v>
      </c>
      <c r="M84" s="217">
        <f t="shared" ref="M84:M89" si="44">IF(system_area&lt;=1,AM84,IF(system_area&gt;=10,AL84,AM84-(AM84-AL84)*LOG10(system_area)))</f>
        <v>-0.7</v>
      </c>
      <c r="N84" s="217">
        <f t="shared" ref="N84:N89" si="45">IF(system_area&lt;=1,AO84,IF(system_area&gt;=10,AN84,AO84-(AO84-AN84)*LOG10(system_area)))</f>
        <v>-0.6</v>
      </c>
      <c r="S84" s="220">
        <v>5</v>
      </c>
      <c r="T84" s="220">
        <v>-2.1</v>
      </c>
      <c r="U84" s="220">
        <v>-2.6</v>
      </c>
      <c r="V84" s="220">
        <v>-2.1</v>
      </c>
      <c r="W84" s="220">
        <v>-2.4</v>
      </c>
      <c r="X84" s="220">
        <v>-1.8</v>
      </c>
      <c r="Y84" s="220">
        <v>-2</v>
      </c>
      <c r="Z84" s="220">
        <v>-0.6</v>
      </c>
      <c r="AA84" s="220">
        <v>-1.2</v>
      </c>
      <c r="AB84" s="232">
        <v>-0.5</v>
      </c>
      <c r="AC84" s="233">
        <v>-0.5</v>
      </c>
      <c r="AG84" s="221">
        <v>5</v>
      </c>
      <c r="AH84" s="221">
        <v>-1.6</v>
      </c>
      <c r="AI84" s="221">
        <v>-2.2000000000000002</v>
      </c>
      <c r="AJ84" s="221">
        <v>-1.3</v>
      </c>
      <c r="AK84" s="221">
        <v>-2</v>
      </c>
      <c r="AL84" s="221">
        <v>-0.7</v>
      </c>
      <c r="AM84" s="221">
        <v>-1.2</v>
      </c>
      <c r="AN84" s="221">
        <v>-0.6</v>
      </c>
      <c r="AO84" s="221">
        <v>-0.6</v>
      </c>
    </row>
    <row r="85" spans="1:41" ht="15.6" x14ac:dyDescent="0.3">
      <c r="B85" s="216">
        <v>15</v>
      </c>
      <c r="C85" s="238">
        <f t="shared" si="37"/>
        <v>-2.4</v>
      </c>
      <c r="D85" s="216">
        <f t="shared" si="38"/>
        <v>-1.6</v>
      </c>
      <c r="E85" s="216">
        <f t="shared" si="39"/>
        <v>-1.9</v>
      </c>
      <c r="F85" s="216">
        <f t="shared" si="40"/>
        <v>-0.8</v>
      </c>
      <c r="G85" s="238">
        <f t="shared" si="41"/>
        <v>-0.7</v>
      </c>
      <c r="H85" s="243"/>
      <c r="I85" s="14"/>
      <c r="J85" s="217">
        <v>15</v>
      </c>
      <c r="K85" s="217">
        <f t="shared" si="42"/>
        <v>-1.3</v>
      </c>
      <c r="L85" s="217">
        <f t="shared" si="43"/>
        <v>-1.3</v>
      </c>
      <c r="M85" s="217">
        <f t="shared" si="44"/>
        <v>-0.6</v>
      </c>
      <c r="N85" s="217">
        <f t="shared" si="45"/>
        <v>-0.5</v>
      </c>
      <c r="S85" s="220">
        <v>15</v>
      </c>
      <c r="T85" s="220">
        <v>-2.4</v>
      </c>
      <c r="U85" s="220">
        <v>-2.9</v>
      </c>
      <c r="V85" s="220">
        <v>-1.6</v>
      </c>
      <c r="W85" s="220">
        <v>-2.4</v>
      </c>
      <c r="X85" s="220">
        <v>-1.9</v>
      </c>
      <c r="Y85" s="220">
        <v>-2.5</v>
      </c>
      <c r="Z85" s="220">
        <v>-0.8</v>
      </c>
      <c r="AA85" s="220">
        <v>-1.2</v>
      </c>
      <c r="AB85" s="220">
        <v>-0.7</v>
      </c>
      <c r="AC85" s="220">
        <v>-1.2</v>
      </c>
      <c r="AG85" s="221">
        <v>15</v>
      </c>
      <c r="AH85" s="221">
        <v>-1.3</v>
      </c>
      <c r="AI85" s="221">
        <v>-2</v>
      </c>
      <c r="AJ85" s="221">
        <v>-1.3</v>
      </c>
      <c r="AK85" s="221">
        <v>-2</v>
      </c>
      <c r="AL85" s="221">
        <v>-0.6</v>
      </c>
      <c r="AM85" s="221">
        <v>-1.2</v>
      </c>
      <c r="AN85" s="221">
        <v>-0.5</v>
      </c>
      <c r="AO85" s="221">
        <v>-0.5</v>
      </c>
    </row>
    <row r="86" spans="1:41" ht="15.6" x14ac:dyDescent="0.3">
      <c r="B86" s="216">
        <v>30</v>
      </c>
      <c r="C86" s="238">
        <f t="shared" si="37"/>
        <v>-2.1</v>
      </c>
      <c r="D86" s="216">
        <f t="shared" si="38"/>
        <v>-1.3</v>
      </c>
      <c r="E86" s="216">
        <f t="shared" si="39"/>
        <v>-1.5</v>
      </c>
      <c r="F86" s="216">
        <f t="shared" si="40"/>
        <v>-1</v>
      </c>
      <c r="G86" s="238">
        <f t="shared" si="41"/>
        <v>-0.8</v>
      </c>
      <c r="H86" s="243"/>
      <c r="I86" s="14"/>
      <c r="J86" s="217">
        <v>30</v>
      </c>
      <c r="K86" s="217">
        <f t="shared" si="42"/>
        <v>-1.1000000000000001</v>
      </c>
      <c r="L86" s="217">
        <f t="shared" si="43"/>
        <v>-1.4</v>
      </c>
      <c r="M86" s="217">
        <f t="shared" si="44"/>
        <v>-0.8</v>
      </c>
      <c r="N86" s="217">
        <f t="shared" si="45"/>
        <v>-0.5</v>
      </c>
      <c r="S86" s="220">
        <v>30</v>
      </c>
      <c r="T86" s="220">
        <v>-2.1</v>
      </c>
      <c r="U86" s="220">
        <v>-2.9</v>
      </c>
      <c r="V86" s="220">
        <v>-1.3</v>
      </c>
      <c r="W86" s="220">
        <v>-2</v>
      </c>
      <c r="X86" s="220">
        <v>-1.5</v>
      </c>
      <c r="Y86" s="220">
        <v>-2</v>
      </c>
      <c r="Z86" s="220">
        <v>-1</v>
      </c>
      <c r="AA86" s="220">
        <v>-1.3</v>
      </c>
      <c r="AB86" s="220">
        <v>-0.8</v>
      </c>
      <c r="AC86" s="220">
        <v>-1.2</v>
      </c>
      <c r="AG86" s="221">
        <v>30</v>
      </c>
      <c r="AH86" s="221">
        <v>-1.1000000000000001</v>
      </c>
      <c r="AI86" s="221">
        <v>-1.5</v>
      </c>
      <c r="AJ86" s="221">
        <v>-1.4</v>
      </c>
      <c r="AK86" s="221">
        <v>-2</v>
      </c>
      <c r="AL86" s="221">
        <v>-0.8</v>
      </c>
      <c r="AM86" s="221">
        <v>-1.2</v>
      </c>
      <c r="AN86" s="221">
        <v>-0.5</v>
      </c>
      <c r="AO86" s="221">
        <v>-0.5</v>
      </c>
    </row>
    <row r="87" spans="1:41" ht="15.6" x14ac:dyDescent="0.3">
      <c r="B87" s="216">
        <v>45</v>
      </c>
      <c r="C87" s="238">
        <f t="shared" si="37"/>
        <v>-1.5</v>
      </c>
      <c r="D87" s="216">
        <f t="shared" si="38"/>
        <v>-1.3</v>
      </c>
      <c r="E87" s="216">
        <f t="shared" si="39"/>
        <v>-1.4</v>
      </c>
      <c r="F87" s="216">
        <f t="shared" si="40"/>
        <v>-1</v>
      </c>
      <c r="G87" s="238">
        <f t="shared" si="41"/>
        <v>-0.9</v>
      </c>
      <c r="H87" s="243"/>
      <c r="I87" s="14"/>
      <c r="J87" s="217">
        <v>45</v>
      </c>
      <c r="K87" s="217">
        <f t="shared" si="42"/>
        <v>-1.1000000000000001</v>
      </c>
      <c r="L87" s="217">
        <f t="shared" si="43"/>
        <v>-1.4</v>
      </c>
      <c r="M87" s="217">
        <f t="shared" si="44"/>
        <v>-0.9</v>
      </c>
      <c r="N87" s="217">
        <f t="shared" si="45"/>
        <v>-0.5</v>
      </c>
      <c r="S87" s="220">
        <v>45</v>
      </c>
      <c r="T87" s="220">
        <v>-1.5</v>
      </c>
      <c r="U87" s="220">
        <v>-2.4</v>
      </c>
      <c r="V87" s="220">
        <v>-1.3</v>
      </c>
      <c r="W87" s="220">
        <v>-2</v>
      </c>
      <c r="X87" s="220">
        <v>-1.4</v>
      </c>
      <c r="Y87" s="220">
        <v>-2</v>
      </c>
      <c r="Z87" s="220">
        <v>-1</v>
      </c>
      <c r="AA87" s="220">
        <v>-1.3</v>
      </c>
      <c r="AB87" s="220">
        <v>-0.9</v>
      </c>
      <c r="AC87" s="220">
        <v>-1.2</v>
      </c>
      <c r="AG87" s="221">
        <v>45</v>
      </c>
      <c r="AH87" s="221">
        <v>-1.1000000000000001</v>
      </c>
      <c r="AI87" s="221">
        <v>-1.5</v>
      </c>
      <c r="AJ87" s="221">
        <v>-1.4</v>
      </c>
      <c r="AK87" s="221">
        <v>-2</v>
      </c>
      <c r="AL87" s="221">
        <v>-0.9</v>
      </c>
      <c r="AM87" s="221">
        <v>-1.2</v>
      </c>
      <c r="AN87" s="221">
        <v>-0.5</v>
      </c>
      <c r="AO87" s="221">
        <v>-0.5</v>
      </c>
    </row>
    <row r="88" spans="1:41" ht="15.6" x14ac:dyDescent="0.3">
      <c r="B88" s="216">
        <v>60</v>
      </c>
      <c r="C88" s="238">
        <f t="shared" si="37"/>
        <v>-1.2</v>
      </c>
      <c r="D88" s="216">
        <f t="shared" si="38"/>
        <v>-1.2</v>
      </c>
      <c r="E88" s="216">
        <f t="shared" si="39"/>
        <v>-1.2</v>
      </c>
      <c r="F88" s="216">
        <f t="shared" si="40"/>
        <v>-1</v>
      </c>
      <c r="G88" s="238">
        <f t="shared" si="41"/>
        <v>-0.7</v>
      </c>
      <c r="H88" s="243"/>
      <c r="I88" s="14"/>
      <c r="J88" s="217">
        <v>60</v>
      </c>
      <c r="K88" s="217">
        <f t="shared" si="42"/>
        <v>-1.1000000000000001</v>
      </c>
      <c r="L88" s="217">
        <f t="shared" si="43"/>
        <v>-1.2</v>
      </c>
      <c r="M88" s="217">
        <f t="shared" si="44"/>
        <v>-0.8</v>
      </c>
      <c r="N88" s="217">
        <f t="shared" si="45"/>
        <v>-0.5</v>
      </c>
      <c r="S88" s="220">
        <v>60</v>
      </c>
      <c r="T88" s="220">
        <v>-1.2</v>
      </c>
      <c r="U88" s="220">
        <v>-2</v>
      </c>
      <c r="V88" s="220">
        <v>-1.2</v>
      </c>
      <c r="W88" s="220">
        <v>-2</v>
      </c>
      <c r="X88" s="220">
        <v>-1.2</v>
      </c>
      <c r="Y88" s="220">
        <v>-2</v>
      </c>
      <c r="Z88" s="220">
        <v>-1</v>
      </c>
      <c r="AA88" s="220">
        <v>-1.3</v>
      </c>
      <c r="AB88" s="220">
        <v>-0.7</v>
      </c>
      <c r="AC88" s="220">
        <v>-1.2</v>
      </c>
      <c r="AG88" s="221">
        <v>60</v>
      </c>
      <c r="AH88" s="221">
        <v>-1.1000000000000001</v>
      </c>
      <c r="AI88" s="221">
        <v>-1.5</v>
      </c>
      <c r="AJ88" s="221">
        <v>-1.2</v>
      </c>
      <c r="AK88" s="221">
        <v>-2</v>
      </c>
      <c r="AL88" s="221">
        <v>-0.8</v>
      </c>
      <c r="AM88" s="221">
        <v>-1</v>
      </c>
      <c r="AN88" s="221">
        <v>-0.5</v>
      </c>
      <c r="AO88" s="221">
        <v>-0.5</v>
      </c>
    </row>
    <row r="89" spans="1:41" ht="15.6" x14ac:dyDescent="0.3">
      <c r="B89" s="216">
        <v>75</v>
      </c>
      <c r="C89" s="238">
        <f t="shared" si="37"/>
        <v>-1.2</v>
      </c>
      <c r="D89" s="216">
        <f t="shared" si="38"/>
        <v>-1.2</v>
      </c>
      <c r="E89" s="216">
        <f t="shared" si="39"/>
        <v>-1.2</v>
      </c>
      <c r="F89" s="216">
        <f t="shared" si="40"/>
        <v>-1</v>
      </c>
      <c r="G89" s="238">
        <f t="shared" si="41"/>
        <v>-0.5</v>
      </c>
      <c r="H89" s="243"/>
      <c r="I89" s="14"/>
      <c r="J89" s="217">
        <v>75</v>
      </c>
      <c r="K89" s="217">
        <f t="shared" si="42"/>
        <v>-1.1000000000000001</v>
      </c>
      <c r="L89" s="217">
        <f t="shared" si="43"/>
        <v>-1.2</v>
      </c>
      <c r="M89" s="217">
        <f t="shared" si="44"/>
        <v>-0.8</v>
      </c>
      <c r="N89" s="217">
        <f t="shared" si="45"/>
        <v>-0.5</v>
      </c>
      <c r="S89" s="220">
        <v>75</v>
      </c>
      <c r="T89" s="220">
        <v>-1.2</v>
      </c>
      <c r="U89" s="220">
        <v>-2</v>
      </c>
      <c r="V89" s="220">
        <v>-1.2</v>
      </c>
      <c r="W89" s="220">
        <v>-2</v>
      </c>
      <c r="X89" s="220">
        <v>-1.2</v>
      </c>
      <c r="Y89" s="220">
        <v>-2</v>
      </c>
      <c r="Z89" s="220">
        <v>-1</v>
      </c>
      <c r="AA89" s="220">
        <v>-1.3</v>
      </c>
      <c r="AB89" s="232">
        <v>-0.5</v>
      </c>
      <c r="AC89" s="233">
        <v>-0.5</v>
      </c>
      <c r="AG89" s="221">
        <v>75</v>
      </c>
      <c r="AH89" s="221">
        <v>-1.1000000000000001</v>
      </c>
      <c r="AI89" s="221">
        <v>-1.5</v>
      </c>
      <c r="AJ89" s="221">
        <v>-1.2</v>
      </c>
      <c r="AK89" s="221">
        <v>-2</v>
      </c>
      <c r="AL89" s="221">
        <v>-0.8</v>
      </c>
      <c r="AM89" s="221">
        <v>-1</v>
      </c>
      <c r="AN89" s="221">
        <v>-0.5</v>
      </c>
      <c r="AO89" s="221">
        <v>-0.5</v>
      </c>
    </row>
    <row r="90" spans="1:41" x14ac:dyDescent="0.3"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41" ht="15.6" x14ac:dyDescent="0.3">
      <c r="A91" t="s">
        <v>202</v>
      </c>
      <c r="B91" s="241">
        <f>pente</f>
        <v>20</v>
      </c>
      <c r="C91" s="244">
        <f>IF($B$44&lt;=$B$33, C84,IF(AND($B$44&gt;$B$33,$B$44&lt;=$B$35),C84+(($B$44-$B$33)*(C85-C84)/($B$35-$B$33)),IF(AND($B$44&gt;$B$35,$B$44&lt;=$B$37),C85+(($B$44-$B$35)*(C86-C85)/($B$37-$B$35)),IF(AND($B$44&gt;$B$37,$B$44&lt;=$B$39),C86+(($B$44-$B$37)*(C87-C86)/($B$39-$B$37)),IF(AND($B$44&gt;$B$39,$B$44&lt;=$B$41),C87+(($B$44-$B$39)*(C88-C87)/($B$41-$B$39)),IF(AND($B$44&gt;$B$41,$B$44&lt;=$B$42),C88+(($B$44-$B$41)*(C89-C88)/($B$42-$B$41)),0))))))</f>
        <v>-2.2999999999999998</v>
      </c>
      <c r="D91" s="245">
        <f>IF($B$44&lt;=$B$33, D84,IF(AND($B$44&gt;$B$33,$B$44&lt;=$B$35),D84+(($B$44-$B$33)*(D85-D84)/($B$35-$B$33)),IF(AND($B$44&gt;$B$35,$B$44&lt;=$B$37),D85+(($B$44-$B$35)*(D86-D85)/($B$37-$B$35)),IF(AND($B$44&gt;$B$37,$B$44&lt;=$B$39),D86+(($B$44-$B$37)*(D87-D86)/($B$39-$B$37)),IF(AND($B$44&gt;$B$39,$B$44&lt;=$B$41),D87+(($B$44-$B$39)*(D88-D87)/($B$41-$B$39)),IF(AND($B$44&gt;$B$41,$B$44&lt;=$B$42),D88+(($B$44-$B$41)*(D89-D88)/($B$42-$B$41)),0))))))</f>
        <v>-1.5</v>
      </c>
      <c r="E91" s="245">
        <f>IF($B$44&lt;=$B$33, E84,IF(AND($B$44&gt;$B$33,$B$44&lt;=$B$35),E84+(($B$44-$B$33)*(E85-E84)/($B$35-$B$33)),IF(AND($B$44&gt;$B$35,$B$44&lt;=$B$37),E85+(($B$44-$B$35)*(E86-E85)/($B$37-$B$35)),IF(AND($B$44&gt;$B$37,$B$44&lt;=$B$39),E86+(($B$44-$B$37)*(E87-E86)/($B$39-$B$37)),IF(AND($B$44&gt;$B$39,$B$44&lt;=$B$41),E87+(($B$44-$B$39)*(E88-E87)/($B$41-$B$39)),IF(AND($B$44&gt;$B$41,$B$44&lt;=$B$42),E88+(($B$44-$B$41)*(E89-E88)/($B$42-$B$41)),0))))))</f>
        <v>-1.7666666666666666</v>
      </c>
      <c r="F91" s="245">
        <f>IF($B$44&lt;=$B$33, F84,IF(AND($B$44&gt;$B$33,$B$44&lt;=$B$35),F84+(($B$44-$B$33)*(F85-F84)/($B$35-$B$33)),IF(AND($B$44&gt;$B$35,$B$44&lt;=$B$37),F85+(($B$44-$B$35)*(F86-F85)/($B$37-$B$35)),IF(AND($B$44&gt;$B$37,$B$44&lt;=$B$39),F86+(($B$44-$B$37)*(F87-F86)/($B$39-$B$37)),IF(AND($B$44&gt;$B$39,$B$44&lt;=$B$41),F87+(($B$44-$B$39)*(F88-F87)/($B$41-$B$39)),IF(AND($B$44&gt;$B$41,$B$44&lt;=$B$42),F88+(($B$44-$B$41)*(F89-F88)/($B$42-$B$41)),0))))))</f>
        <v>-0.8666666666666667</v>
      </c>
      <c r="G91" s="245">
        <f>IF($B$44&lt;=$B$33, G84,IF(AND($B$44&gt;$B$33,$B$44&lt;=$B$35),G84+(($B$44-$B$33)*(G85-G84)/($B$35-$B$33)),IF(AND($B$44&gt;$B$35,$B$44&lt;=$B$37),G85+(($B$44-$B$35)*(G86-G85)/($B$37-$B$35)),IF(AND($B$44&gt;$B$37,$B$44&lt;=$B$39),G86+(($B$44-$B$37)*(G87-G86)/($B$39-$B$37)),IF(AND($B$44&gt;$B$39,$B$44&lt;=$B$41),G87+(($B$44-$B$39)*(G88-G87)/($B$41-$B$39)),IF(AND($B$44&gt;$B$41,$B$44&lt;=$B$42),G88+(($B$44-$B$41)*(G89-G88)/($B$42-$B$41)),0))))))</f>
        <v>-0.73333333333333328</v>
      </c>
      <c r="H91" s="14"/>
      <c r="I91" s="14" t="s">
        <v>202</v>
      </c>
      <c r="J91" s="246">
        <f>pente</f>
        <v>20</v>
      </c>
      <c r="K91" s="301">
        <f>IF($B$44&lt;=$B$33, K84,IF(AND($B$44&gt;$B$33,$B$44&lt;=$B$35),K84+(($B$44-$B$33)*(K85-K84)/($B$35-$B$33)),IF(AND($B$44&gt;$B$35,$B$44&lt;=$B$37),K85+(($B$44-$B$35)*(K86-K85)/($B$37-$B$35)),IF(AND($B$44&gt;$B$37,$B$44&lt;=$B$39),K86+(($B$44-$B$37)*(K87-K86)/($B$39-$B$37)),IF(AND($B$44&gt;$B$39,$B$44&lt;=$B$41),K87+(($B$44-$B$39)*(K88-K87)/($B$41-$B$39)),IF(AND($B$44&gt;$B$41,$B$44&lt;=$B$42),K88+(($B$44-$B$41)*(K89-K88)/($B$42-$B$41)),0))))))</f>
        <v>-1.2333333333333334</v>
      </c>
      <c r="L91" s="301">
        <f>IF($B$44&lt;=$B$33, L84,IF(AND($B$44&gt;$B$33,$B$44&lt;=$B$35),L84+(($B$44-$B$33)*(L85-L84)/($B$35-$B$33)),IF(AND($B$44&gt;$B$35,$B$44&lt;=$B$37),L85+(($B$44-$B$35)*(L86-L85)/($B$37-$B$35)),IF(AND($B$44&gt;$B$37,$B$44&lt;=$B$39),L86+(($B$44-$B$37)*(L87-L86)/($B$39-$B$37)),IF(AND($B$44&gt;$B$39,$B$44&lt;=$B$41),L87+(($B$44-$B$39)*(L88-L87)/($B$41-$B$39)),IF(AND($B$44&gt;$B$41,$B$44&lt;=$B$42),L88+(($B$44-$B$41)*(L89-L88)/($B$42-$B$41)),0))))))</f>
        <v>-1.3333333333333333</v>
      </c>
      <c r="M91" s="301">
        <f>IF($B$44&lt;=$B$33, M84,IF(AND($B$44&gt;$B$33,$B$44&lt;=$B$35),M84+(($B$44-$B$33)*(M85-M84)/($B$35-$B$33)),IF(AND($B$44&gt;$B$35,$B$44&lt;=$B$37),M85+(($B$44-$B$35)*(M86-M85)/($B$37-$B$35)),IF(AND($B$44&gt;$B$37,$B$44&lt;=$B$39),M86+(($B$44-$B$37)*(M87-M86)/($B$39-$B$37)),IF(AND($B$44&gt;$B$39,$B$44&lt;=$B$41),M87+(($B$44-$B$39)*(M88-M87)/($B$41-$B$39)),IF(AND($B$44&gt;$B$41,$B$44&lt;=$B$42),M88+(($B$44-$B$41)*(M89-M88)/($B$42-$B$41)),0))))))</f>
        <v>-0.66666666666666663</v>
      </c>
      <c r="N91" s="301">
        <f>IF($B$44&lt;=$B$33, N84,IF(AND($B$44&gt;$B$33,$B$44&lt;=$B$35),N84+(($B$44-$B$33)*(N85-N84)/($B$35-$B$33)),IF(AND($B$44&gt;$B$35,$B$44&lt;=$B$37),N85+(($B$44-$B$35)*(N86-N85)/($B$37-$B$35)),IF(AND($B$44&gt;$B$37,$B$44&lt;=$B$39),N86+(($B$44-$B$37)*(N87-N86)/($B$39-$B$37)),IF(AND($B$44&gt;$B$39,$B$44&lt;=$B$41),N87+(($B$44-$B$39)*(N88-N87)/($B$41-$B$39)),IF(AND($B$44&gt;$B$41,$B$44&lt;=$B$42),N88+(($B$44-$B$41)*(N89-N88)/($B$42-$B$41)),0))))))</f>
        <v>-0.5</v>
      </c>
    </row>
  </sheetData>
  <mergeCells count="139">
    <mergeCell ref="B33:B34"/>
    <mergeCell ref="J33:J34"/>
    <mergeCell ref="S34:S35"/>
    <mergeCell ref="S28:AE28"/>
    <mergeCell ref="AG28:AQ28"/>
    <mergeCell ref="B30:H30"/>
    <mergeCell ref="J30:O30"/>
    <mergeCell ref="S30:AE30"/>
    <mergeCell ref="AG30:AQ30"/>
    <mergeCell ref="S31:S33"/>
    <mergeCell ref="T31:Y31"/>
    <mergeCell ref="Z31:AE31"/>
    <mergeCell ref="AG31:AG33"/>
    <mergeCell ref="AH31:AQ31"/>
    <mergeCell ref="Q1:S1"/>
    <mergeCell ref="C6:F6"/>
    <mergeCell ref="G6:J6"/>
    <mergeCell ref="B31:B32"/>
    <mergeCell ref="J31:J32"/>
    <mergeCell ref="B28:H28"/>
    <mergeCell ref="J28:O28"/>
    <mergeCell ref="C31:E31"/>
    <mergeCell ref="F31:H31"/>
    <mergeCell ref="K31:O31"/>
    <mergeCell ref="B37:B38"/>
    <mergeCell ref="J37:J38"/>
    <mergeCell ref="S38:S39"/>
    <mergeCell ref="AG38:AG39"/>
    <mergeCell ref="B39:B40"/>
    <mergeCell ref="J39:J40"/>
    <mergeCell ref="S40:S41"/>
    <mergeCell ref="AG40:AG41"/>
    <mergeCell ref="AP32:AQ32"/>
    <mergeCell ref="AG34:AG35"/>
    <mergeCell ref="S36:S37"/>
    <mergeCell ref="AG36:AG37"/>
    <mergeCell ref="AD32:AE32"/>
    <mergeCell ref="AH32:AI32"/>
    <mergeCell ref="AJ32:AK32"/>
    <mergeCell ref="AL32:AM32"/>
    <mergeCell ref="AN32:AO32"/>
    <mergeCell ref="T32:U32"/>
    <mergeCell ref="V32:W32"/>
    <mergeCell ref="X32:Y32"/>
    <mergeCell ref="Z32:AA32"/>
    <mergeCell ref="AB32:AC32"/>
    <mergeCell ref="B35:B36"/>
    <mergeCell ref="J35:J36"/>
    <mergeCell ref="B44:B45"/>
    <mergeCell ref="J44:J45"/>
    <mergeCell ref="S46:AC46"/>
    <mergeCell ref="AG46:AO46"/>
    <mergeCell ref="B47:G47"/>
    <mergeCell ref="J47:N47"/>
    <mergeCell ref="S47:S49"/>
    <mergeCell ref="T47:AC47"/>
    <mergeCell ref="AG47:AG49"/>
    <mergeCell ref="AH47:AO47"/>
    <mergeCell ref="B48:B49"/>
    <mergeCell ref="C48:G48"/>
    <mergeCell ref="J48:J49"/>
    <mergeCell ref="K48:N48"/>
    <mergeCell ref="J64:O64"/>
    <mergeCell ref="B65:B66"/>
    <mergeCell ref="C65:E65"/>
    <mergeCell ref="F65:H65"/>
    <mergeCell ref="J65:J66"/>
    <mergeCell ref="K65:O65"/>
    <mergeCell ref="AH48:AI48"/>
    <mergeCell ref="AJ48:AK48"/>
    <mergeCell ref="AG62:AQ62"/>
    <mergeCell ref="AL48:AM48"/>
    <mergeCell ref="AN48:AO48"/>
    <mergeCell ref="T48:U48"/>
    <mergeCell ref="V48:W48"/>
    <mergeCell ref="X48:Y48"/>
    <mergeCell ref="Z48:AA48"/>
    <mergeCell ref="AB48:AC48"/>
    <mergeCell ref="AG64:AQ64"/>
    <mergeCell ref="S65:S67"/>
    <mergeCell ref="T65:Y65"/>
    <mergeCell ref="Z65:AE65"/>
    <mergeCell ref="AG65:AG67"/>
    <mergeCell ref="AH65:AQ65"/>
    <mergeCell ref="T66:U66"/>
    <mergeCell ref="V66:W66"/>
    <mergeCell ref="B82:B83"/>
    <mergeCell ref="C82:G82"/>
    <mergeCell ref="J82:J83"/>
    <mergeCell ref="K82:N82"/>
    <mergeCell ref="S62:AE62"/>
    <mergeCell ref="S64:AE64"/>
    <mergeCell ref="S72:S73"/>
    <mergeCell ref="S81:S83"/>
    <mergeCell ref="T81:AC81"/>
    <mergeCell ref="B73:B74"/>
    <mergeCell ref="J73:J74"/>
    <mergeCell ref="B78:B79"/>
    <mergeCell ref="J78:J79"/>
    <mergeCell ref="B81:G81"/>
    <mergeCell ref="J81:N81"/>
    <mergeCell ref="B67:B68"/>
    <mergeCell ref="J67:J68"/>
    <mergeCell ref="B69:B70"/>
    <mergeCell ref="J69:J70"/>
    <mergeCell ref="B71:B72"/>
    <mergeCell ref="J71:J72"/>
    <mergeCell ref="B62:H62"/>
    <mergeCell ref="J62:O62"/>
    <mergeCell ref="B64:H64"/>
    <mergeCell ref="S74:S75"/>
    <mergeCell ref="AG74:AG75"/>
    <mergeCell ref="S80:AC80"/>
    <mergeCell ref="AG80:AO80"/>
    <mergeCell ref="AP66:AQ66"/>
    <mergeCell ref="S68:S69"/>
    <mergeCell ref="AG68:AG69"/>
    <mergeCell ref="S70:S71"/>
    <mergeCell ref="AG70:AG71"/>
    <mergeCell ref="X66:Y66"/>
    <mergeCell ref="Z66:AA66"/>
    <mergeCell ref="AB66:AC66"/>
    <mergeCell ref="AD66:AE66"/>
    <mergeCell ref="AH66:AI66"/>
    <mergeCell ref="AJ66:AK66"/>
    <mergeCell ref="AL66:AM66"/>
    <mergeCell ref="AN66:AO66"/>
    <mergeCell ref="AG72:AG73"/>
    <mergeCell ref="AG81:AG83"/>
    <mergeCell ref="AH81:AO81"/>
    <mergeCell ref="T82:U82"/>
    <mergeCell ref="V82:W82"/>
    <mergeCell ref="X82:Y82"/>
    <mergeCell ref="Z82:AA82"/>
    <mergeCell ref="AB82:AC82"/>
    <mergeCell ref="AH82:AI82"/>
    <mergeCell ref="AJ82:AK82"/>
    <mergeCell ref="AL82:AM82"/>
    <mergeCell ref="AN82:AO82"/>
  </mergeCells>
  <phoneticPr fontId="37" type="noConversion"/>
  <dataValidations disablePrompts="1" count="1">
    <dataValidation allowBlank="1" showInputMessage="1" showErrorMessage="1" promptTitle="Select" sqref="M5" xr:uid="{8050EA75-3BAB-4050-921D-5D0CDCD8BF87}"/>
  </dataValidation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11A85-2793-4AAE-B599-9361AD9A18FE}">
  <sheetPr codeName="Sheet5"/>
  <dimension ref="B1:K28"/>
  <sheetViews>
    <sheetView zoomScale="160" zoomScaleNormal="160" workbookViewId="0">
      <selection activeCell="F69" sqref="F69"/>
    </sheetView>
  </sheetViews>
  <sheetFormatPr baseColWidth="10" defaultColWidth="11.5546875" defaultRowHeight="14.4" x14ac:dyDescent="0.3"/>
  <cols>
    <col min="9" max="11" width="13.33203125" customWidth="1"/>
  </cols>
  <sheetData>
    <row r="1" spans="2:11" ht="20.399999999999999" thickBot="1" x14ac:dyDescent="0.45">
      <c r="B1" s="367" t="s">
        <v>342</v>
      </c>
      <c r="C1" s="367"/>
      <c r="D1" s="367"/>
      <c r="E1" s="367"/>
    </row>
    <row r="2" spans="2:11" ht="15" thickTop="1" x14ac:dyDescent="0.3"/>
    <row r="3" spans="2:11" x14ac:dyDescent="0.3">
      <c r="B3" s="1" t="s">
        <v>269</v>
      </c>
      <c r="C3" s="1" t="s">
        <v>283</v>
      </c>
      <c r="D3" s="1" t="s">
        <v>284</v>
      </c>
      <c r="E3" s="1" t="s">
        <v>270</v>
      </c>
      <c r="F3" s="1" t="s">
        <v>271</v>
      </c>
    </row>
    <row r="4" spans="2:11" x14ac:dyDescent="0.3">
      <c r="B4" s="1" t="s">
        <v>272</v>
      </c>
      <c r="C4" s="1">
        <v>0.45</v>
      </c>
      <c r="D4" s="1">
        <f>IFERROR(
IF(Alt_proj&lt;=200,0,
IF(AND(Alt_proj&gt;200,Alt_proj&lt;=500),Alt_proj/1000-0.2,
IF(AND(Alt_proj&gt;500,Alt_proj&lt;=1000),1.5*Alt_proj/1000-0.45,
IF(AND(Alt_proj&gt;1000,Alt_proj&lt;=2000),3.5*Alt_proj/1000-2.45)))),"")</f>
        <v>0</v>
      </c>
      <c r="E4" s="1">
        <f>C4+D4</f>
        <v>0.45</v>
      </c>
      <c r="F4" s="1">
        <v>0</v>
      </c>
    </row>
    <row r="5" spans="2:11" x14ac:dyDescent="0.3">
      <c r="B5" s="1" t="s">
        <v>273</v>
      </c>
      <c r="C5" s="1">
        <v>0.45</v>
      </c>
      <c r="D5" s="1">
        <f t="shared" ref="D5:D10" si="0">IFERROR(IF(Alt_proj&lt;=200,0,IF(AND(Alt_proj&gt;200,Alt_proj&lt;=500),Alt_proj/1000-0.2,IF(AND(Alt_proj&gt;500,Alt_proj&lt;=1000),1.5*Alt_proj/1000-0.45,IF(AND(Alt_proj&gt;1000,Alt_proj&lt;=2000),3.5*Alt_proj/1000-2.45)))),"")</f>
        <v>0</v>
      </c>
      <c r="E5" s="1">
        <f t="shared" ref="E5:E11" si="1">C5+D5</f>
        <v>0.45</v>
      </c>
      <c r="F5" s="1">
        <v>1</v>
      </c>
    </row>
    <row r="6" spans="2:11" x14ac:dyDescent="0.3">
      <c r="B6" s="1" t="s">
        <v>274</v>
      </c>
      <c r="C6" s="1">
        <v>0.55000000000000004</v>
      </c>
      <c r="D6" s="1">
        <f t="shared" si="0"/>
        <v>0</v>
      </c>
      <c r="E6" s="1">
        <f t="shared" si="1"/>
        <v>0.55000000000000004</v>
      </c>
      <c r="F6" s="1">
        <v>1</v>
      </c>
    </row>
    <row r="7" spans="2:11" x14ac:dyDescent="0.3">
      <c r="B7" s="1" t="s">
        <v>275</v>
      </c>
      <c r="C7" s="1">
        <v>0.55000000000000004</v>
      </c>
      <c r="D7" s="1">
        <f t="shared" si="0"/>
        <v>0</v>
      </c>
      <c r="E7" s="1">
        <f t="shared" si="1"/>
        <v>0.55000000000000004</v>
      </c>
      <c r="F7" s="1">
        <v>1.35</v>
      </c>
    </row>
    <row r="8" spans="2:11" x14ac:dyDescent="0.3">
      <c r="B8" s="1" t="s">
        <v>276</v>
      </c>
      <c r="C8" s="1">
        <v>0.65</v>
      </c>
      <c r="D8" s="1">
        <f t="shared" si="0"/>
        <v>0</v>
      </c>
      <c r="E8" s="1">
        <f t="shared" si="1"/>
        <v>0.65</v>
      </c>
      <c r="F8" s="1">
        <v>0</v>
      </c>
    </row>
    <row r="9" spans="2:11" x14ac:dyDescent="0.3">
      <c r="B9" s="1" t="s">
        <v>277</v>
      </c>
      <c r="C9" s="1">
        <v>0.65</v>
      </c>
      <c r="D9" s="1">
        <f t="shared" si="0"/>
        <v>0</v>
      </c>
      <c r="E9" s="1">
        <f t="shared" si="1"/>
        <v>0.65</v>
      </c>
      <c r="F9" s="1">
        <v>1.35</v>
      </c>
    </row>
    <row r="10" spans="2:11" x14ac:dyDescent="0.3">
      <c r="B10" s="1" t="s">
        <v>278</v>
      </c>
      <c r="C10" s="1">
        <v>0.9</v>
      </c>
      <c r="D10" s="1">
        <f t="shared" si="0"/>
        <v>0</v>
      </c>
      <c r="E10" s="1">
        <f t="shared" si="1"/>
        <v>0.9</v>
      </c>
      <c r="F10" s="1">
        <v>1.8</v>
      </c>
    </row>
    <row r="11" spans="2:11" x14ac:dyDescent="0.3">
      <c r="B11" s="1" t="s">
        <v>279</v>
      </c>
      <c r="C11" s="1">
        <v>1.4</v>
      </c>
      <c r="D11" s="1">
        <f>IFERROR(IF(Alt_proj&lt;=200,0,IF(AND(Alt_proj&gt;200,Alt_proj&lt;=500),1.5*Alt_proj/1000-0.3,IF(AND(Alt_proj&gt;500,Alt_proj&lt;=1000),3.5*Alt_proj/1000-1.3,IF(AND(Alt_proj&gt;1000,Alt_proj&lt;=2000),7*Alt_proj/1000-4.8)))),"")</f>
        <v>0</v>
      </c>
      <c r="E11" s="1">
        <f t="shared" si="1"/>
        <v>1.4</v>
      </c>
      <c r="F11" s="1">
        <v>0</v>
      </c>
    </row>
    <row r="12" spans="2:11" x14ac:dyDescent="0.3">
      <c r="B12" s="516" t="s">
        <v>499</v>
      </c>
      <c r="C12" s="372">
        <f>VLOOKUP(choix_neige,Neige_Charges,4,FALSE)</f>
        <v>0.45</v>
      </c>
    </row>
    <row r="13" spans="2:11" ht="15.6" x14ac:dyDescent="0.35">
      <c r="B13" s="368" t="s">
        <v>280</v>
      </c>
      <c r="C13" s="371">
        <f>IF(pente&lt;=30,0.8,IF(AND(pente&gt;30,pente&lt;60),0.8*(60-pente)/30,0))</f>
        <v>0.8</v>
      </c>
      <c r="D13" s="23" t="s">
        <v>345</v>
      </c>
      <c r="E13" t="str">
        <f>choix_neige</f>
        <v>A2</v>
      </c>
      <c r="H13" s="375" t="s">
        <v>346</v>
      </c>
      <c r="I13" s="2" t="s">
        <v>347</v>
      </c>
      <c r="J13" s="2" t="s">
        <v>348</v>
      </c>
      <c r="K13" s="2" t="s">
        <v>349</v>
      </c>
    </row>
    <row r="14" spans="2:11" ht="15.6" x14ac:dyDescent="0.35">
      <c r="B14" s="368" t="s">
        <v>281</v>
      </c>
      <c r="C14" s="369">
        <v>1</v>
      </c>
      <c r="D14" s="23" t="s">
        <v>343</v>
      </c>
      <c r="E14" s="373">
        <f>pente</f>
        <v>20</v>
      </c>
      <c r="H14" s="375" t="s">
        <v>280</v>
      </c>
      <c r="I14" s="2">
        <v>0.8</v>
      </c>
      <c r="J14" s="2" t="s">
        <v>350</v>
      </c>
      <c r="K14" s="2">
        <v>0</v>
      </c>
    </row>
    <row r="15" spans="2:11" ht="15.6" x14ac:dyDescent="0.35">
      <c r="B15" s="368" t="s">
        <v>282</v>
      </c>
      <c r="C15" s="369">
        <v>1</v>
      </c>
      <c r="D15" s="23" t="s">
        <v>344</v>
      </c>
      <c r="E15" s="374">
        <f>Alt_proj</f>
        <v>145</v>
      </c>
      <c r="H15" s="375" t="s">
        <v>351</v>
      </c>
      <c r="I15" s="2" t="s">
        <v>352</v>
      </c>
      <c r="J15" s="2">
        <v>1.6</v>
      </c>
      <c r="K15" s="2" t="s">
        <v>353</v>
      </c>
    </row>
    <row r="16" spans="2:11" x14ac:dyDescent="0.3">
      <c r="B16" s="1" t="s">
        <v>288</v>
      </c>
      <c r="C16" s="372">
        <f>VLOOKUP(choix_neige,Neige_Charges,4,FALSE)*C13*C14*C15</f>
        <v>0.36000000000000004</v>
      </c>
    </row>
    <row r="17" spans="2:5" x14ac:dyDescent="0.3">
      <c r="B17" s="1" t="s">
        <v>290</v>
      </c>
      <c r="C17" s="372">
        <f>VLOOKUP(choix_neige,Neige_Charges,5,FALSE)*C13*C14*C15</f>
        <v>0.8</v>
      </c>
    </row>
    <row r="19" spans="2:5" ht="20.399999999999999" thickBot="1" x14ac:dyDescent="0.45">
      <c r="B19" s="367" t="s">
        <v>354</v>
      </c>
      <c r="C19" s="367"/>
      <c r="D19" s="367"/>
    </row>
    <row r="20" spans="2:5" ht="6" customHeight="1" thickTop="1" x14ac:dyDescent="0.3">
      <c r="B20" s="298"/>
    </row>
    <row r="21" spans="2:5" ht="15" thickBot="1" x14ac:dyDescent="0.35">
      <c r="B21" s="376" t="s">
        <v>355</v>
      </c>
      <c r="C21" s="376"/>
      <c r="D21" s="377" t="s">
        <v>356</v>
      </c>
      <c r="E21" s="377"/>
    </row>
    <row r="22" spans="2:5" ht="4.95" customHeight="1" x14ac:dyDescent="0.3">
      <c r="B22" s="298"/>
    </row>
    <row r="23" spans="2:5" x14ac:dyDescent="0.3">
      <c r="B23" s="1" t="s">
        <v>289</v>
      </c>
      <c r="C23" s="370">
        <f>C16*COS(RADIANS(pente))</f>
        <v>0.33828934348292705</v>
      </c>
      <c r="D23" s="1" t="s">
        <v>292</v>
      </c>
      <c r="E23" s="370">
        <f>C23*COS(RADIANS(pente))</f>
        <v>0.31788799976141607</v>
      </c>
    </row>
    <row r="24" spans="2:5" x14ac:dyDescent="0.3">
      <c r="D24" s="1" t="s">
        <v>293</v>
      </c>
      <c r="E24" s="370">
        <f>C23*SIN(RADIANS(pente))</f>
        <v>0.11570176974357708</v>
      </c>
    </row>
    <row r="25" spans="2:5" x14ac:dyDescent="0.3">
      <c r="B25" s="1" t="s">
        <v>291</v>
      </c>
      <c r="C25" s="370">
        <f>C17*COS(RADIANS(pente))</f>
        <v>0.75175409662872683</v>
      </c>
      <c r="D25" s="1" t="s">
        <v>294</v>
      </c>
      <c r="E25" s="370">
        <f>C25*COS(RADIANS(pente))</f>
        <v>0.70641777724759136</v>
      </c>
    </row>
    <row r="26" spans="2:5" x14ac:dyDescent="0.3">
      <c r="D26" s="1" t="s">
        <v>295</v>
      </c>
      <c r="E26" s="370">
        <f>C25*SIN(RADIANS(pente))</f>
        <v>0.25711504387461576</v>
      </c>
    </row>
    <row r="28" spans="2:5" x14ac:dyDescent="0.3">
      <c r="E28" s="299"/>
    </row>
  </sheetData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d6015626-5494-4237-8275-c646a6726a2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D4B2C30472094C9BC2777A424DBB57" ma:contentTypeVersion="10" ma:contentTypeDescription="Crée un document." ma:contentTypeScope="" ma:versionID="4e758f0f810aab6580c5416570ecf33f">
  <xsd:schema xmlns:xsd="http://www.w3.org/2001/XMLSchema" xmlns:xs="http://www.w3.org/2001/XMLSchema" xmlns:p="http://schemas.microsoft.com/office/2006/metadata/properties" xmlns:ns3="d6015626-5494-4237-8275-c646a6726a25" targetNamespace="http://schemas.microsoft.com/office/2006/metadata/properties" ma:root="true" ma:fieldsID="d3a85b55b6a9fc04c3866462f1dfe0a8" ns3:_="">
    <xsd:import namespace="d6015626-5494-4237-8275-c646a6726a2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015626-5494-4237-8275-c646a6726a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8542582-595D-49E8-A374-9B2314B93FD4}">
  <ds:schemaRefs>
    <ds:schemaRef ds:uri="http://schemas.microsoft.com/office/2006/documentManagement/types"/>
    <ds:schemaRef ds:uri="http://schemas.openxmlformats.org/package/2006/metadata/core-properties"/>
    <ds:schemaRef ds:uri="d6015626-5494-4237-8275-c646a6726a25"/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4AAB3F18-15F9-405A-82F5-350AB00E847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566C46-3C7B-4EB9-AD05-D52CF865FD4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015626-5494-4237-8275-c646a6726a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163</vt:i4>
      </vt:variant>
    </vt:vector>
  </HeadingPairs>
  <TitlesOfParts>
    <vt:vector size="174" baseType="lpstr">
      <vt:lpstr>Configurateur ISY-PV</vt:lpstr>
      <vt:lpstr>Bon de commande</vt:lpstr>
      <vt:lpstr>Rapport ISY-HOOK </vt:lpstr>
      <vt:lpstr>Rapport ISY-RAIL</vt:lpstr>
      <vt:lpstr>Données</vt:lpstr>
      <vt:lpstr>Logistique</vt:lpstr>
      <vt:lpstr>Mécanique</vt:lpstr>
      <vt:lpstr>EC1-Vent</vt:lpstr>
      <vt:lpstr>EC1-Neige</vt:lpstr>
      <vt:lpstr>EC1 - CC</vt:lpstr>
      <vt:lpstr>Config type</vt:lpstr>
      <vt:lpstr>Alt_proj</vt:lpstr>
      <vt:lpstr>Articl_resist</vt:lpstr>
      <vt:lpstr>Article_desc</vt:lpstr>
      <vt:lpstr>article_list</vt:lpstr>
      <vt:lpstr>Article_nb</vt:lpstr>
      <vt:lpstr>Article_no</vt:lpstr>
      <vt:lpstr>brid_pann</vt:lpstr>
      <vt:lpstr>Calcul_champs_PV</vt:lpstr>
      <vt:lpstr>Cat_Terrain</vt:lpstr>
      <vt:lpstr>Charp_type</vt:lpstr>
      <vt:lpstr>Charpente</vt:lpstr>
      <vt:lpstr>choix_brid</vt:lpstr>
      <vt:lpstr>Choix_calep</vt:lpstr>
      <vt:lpstr>choix_cat</vt:lpstr>
      <vt:lpstr>choix_charp</vt:lpstr>
      <vt:lpstr>choix_classe_bois</vt:lpstr>
      <vt:lpstr>choix_coul</vt:lpstr>
      <vt:lpstr>choix_couv</vt:lpstr>
      <vt:lpstr>Choix_croch</vt:lpstr>
      <vt:lpstr>Choix_etr</vt:lpstr>
      <vt:lpstr>Choix_forme</vt:lpstr>
      <vt:lpstr>choix_impl</vt:lpstr>
      <vt:lpstr>choix_ISRA710</vt:lpstr>
      <vt:lpstr>choix_neige</vt:lpstr>
      <vt:lpstr>choix_nerv</vt:lpstr>
      <vt:lpstr>choix_vent</vt:lpstr>
      <vt:lpstr>Comp_calep</vt:lpstr>
      <vt:lpstr>comp_charp</vt:lpstr>
      <vt:lpstr>Comp_croch</vt:lpstr>
      <vt:lpstr>Couleur</vt:lpstr>
      <vt:lpstr>Couverture</vt:lpstr>
      <vt:lpstr>cpe_bi</vt:lpstr>
      <vt:lpstr>Cpe_mono</vt:lpstr>
      <vt:lpstr>Cr_Z</vt:lpstr>
      <vt:lpstr>croch_comp</vt:lpstr>
      <vt:lpstr>croch_lign</vt:lpstr>
      <vt:lpstr>déb_bri</vt:lpstr>
      <vt:lpstr>deb_croch</vt:lpstr>
      <vt:lpstr>Dim_centre_haut_BP</vt:lpstr>
      <vt:lpstr>Dim_centre_haut_MP</vt:lpstr>
      <vt:lpstr>Dim_centre_long</vt:lpstr>
      <vt:lpstr>dim_egout_long</vt:lpstr>
      <vt:lpstr>Dim_rive_haut_BP</vt:lpstr>
      <vt:lpstr>Dim_rive_haut_MP</vt:lpstr>
      <vt:lpstr>dist_fait</vt:lpstr>
      <vt:lpstr>dist_rive</vt:lpstr>
      <vt:lpstr>Dom_emploi</vt:lpstr>
      <vt:lpstr>Entr_chev</vt:lpstr>
      <vt:lpstr>entr_croch_max</vt:lpstr>
      <vt:lpstr>Entr_croch_min</vt:lpstr>
      <vt:lpstr>Entr_panne_max</vt:lpstr>
      <vt:lpstr>entr_plot</vt:lpstr>
      <vt:lpstr>espac_nerv</vt:lpstr>
      <vt:lpstr>G_droit</vt:lpstr>
      <vt:lpstr>G_paral</vt:lpstr>
      <vt:lpstr>haut_bat</vt:lpstr>
      <vt:lpstr>Haut_Champs_PV</vt:lpstr>
      <vt:lpstr>im_hook</vt:lpstr>
      <vt:lpstr>im_rail</vt:lpstr>
      <vt:lpstr>Im_toit_BP</vt:lpstr>
      <vt:lpstr>Im_toit_MP</vt:lpstr>
      <vt:lpstr>Implant_PV</vt:lpstr>
      <vt:lpstr>Interail</vt:lpstr>
      <vt:lpstr>interligne</vt:lpstr>
      <vt:lpstr>larg_bri_int</vt:lpstr>
      <vt:lpstr>Larg_Champs_PV</vt:lpstr>
      <vt:lpstr>list_materiel</vt:lpstr>
      <vt:lpstr>load_proj_BP</vt:lpstr>
      <vt:lpstr>load_proj_MP</vt:lpstr>
      <vt:lpstr>load_proj_type</vt:lpstr>
      <vt:lpstr>Logist</vt:lpstr>
      <vt:lpstr>Long_rail</vt:lpstr>
      <vt:lpstr>long_utile</vt:lpstr>
      <vt:lpstr>Micro</vt:lpstr>
      <vt:lpstr>Micro_fact</vt:lpstr>
      <vt:lpstr>mod_charg_adm</vt:lpstr>
      <vt:lpstr>mod_ep</vt:lpstr>
      <vt:lpstr>mod_haut</vt:lpstr>
      <vt:lpstr>mod_larg</vt:lpstr>
      <vt:lpstr>mod_poids</vt:lpstr>
      <vt:lpstr>Mode_pose</vt:lpstr>
      <vt:lpstr>Module_Area</vt:lpstr>
      <vt:lpstr>mult_rail</vt:lpstr>
      <vt:lpstr>mult_rail_crois</vt:lpstr>
      <vt:lpstr>Nb_bride_exter</vt:lpstr>
      <vt:lpstr>Nb_bride_inter</vt:lpstr>
      <vt:lpstr>nb_colonne</vt:lpstr>
      <vt:lpstr>Nb_conn_crois</vt:lpstr>
      <vt:lpstr>Nb_croch</vt:lpstr>
      <vt:lpstr>nb_ligne</vt:lpstr>
      <vt:lpstr>Nb_racc</vt:lpstr>
      <vt:lpstr>Nb_racc_crois</vt:lpstr>
      <vt:lpstr>Nb_rail</vt:lpstr>
      <vt:lpstr>Nb_Rail_crois</vt:lpstr>
      <vt:lpstr>Neige_Charges</vt:lpstr>
      <vt:lpstr>Neige_Zones</vt:lpstr>
      <vt:lpstr>NOK</vt:lpstr>
      <vt:lpstr>OK</vt:lpstr>
      <vt:lpstr>PaF_max</vt:lpstr>
      <vt:lpstr>PaF_utile</vt:lpstr>
      <vt:lpstr>panne_type</vt:lpstr>
      <vt:lpstr>pente</vt:lpstr>
      <vt:lpstr>Pmodule_asc</vt:lpstr>
      <vt:lpstr>Pmodule_desc</vt:lpstr>
      <vt:lpstr>Porte_a_faux</vt:lpstr>
      <vt:lpstr>pos_etr_calep</vt:lpstr>
      <vt:lpstr>proj_dir</vt:lpstr>
      <vt:lpstr>proj_dir2</vt:lpstr>
      <vt:lpstr>proj_name</vt:lpstr>
      <vt:lpstr>proj_ref</vt:lpstr>
      <vt:lpstr>Qpz</vt:lpstr>
      <vt:lpstr>Racc_crois</vt:lpstr>
      <vt:lpstr>Racc_lign</vt:lpstr>
      <vt:lpstr>Rail</vt:lpstr>
      <vt:lpstr>RAIL_cont_max</vt:lpstr>
      <vt:lpstr>rail_crois_ligne</vt:lpstr>
      <vt:lpstr>Rail_découp_ader</vt:lpstr>
      <vt:lpstr>rail_découp_der</vt:lpstr>
      <vt:lpstr>RAIL_fibre</vt:lpstr>
      <vt:lpstr>RAIL_Inertia</vt:lpstr>
      <vt:lpstr>rail_ligne</vt:lpstr>
      <vt:lpstr>RAIL_Sécu</vt:lpstr>
      <vt:lpstr>Rail24Black</vt:lpstr>
      <vt:lpstr>railc_decoup_ader</vt:lpstr>
      <vt:lpstr>railc_decoup_der</vt:lpstr>
      <vt:lpstr>Resist_syst</vt:lpstr>
      <vt:lpstr>Sa_droit</vt:lpstr>
      <vt:lpstr>Sa_paral</vt:lpstr>
      <vt:lpstr>select</vt:lpstr>
      <vt:lpstr>sélect</vt:lpstr>
      <vt:lpstr>Sk</vt:lpstr>
      <vt:lpstr>Sn_droit</vt:lpstr>
      <vt:lpstr>Sn_paral</vt:lpstr>
      <vt:lpstr>Sollic_croch</vt:lpstr>
      <vt:lpstr>Sollic_posit</vt:lpstr>
      <vt:lpstr>Support_rail</vt:lpstr>
      <vt:lpstr>Surcharge</vt:lpstr>
      <vt:lpstr>system_area</vt:lpstr>
      <vt:lpstr>toit_dim0_e10</vt:lpstr>
      <vt:lpstr>toit_dim0_e10_proj</vt:lpstr>
      <vt:lpstr>toit_dim0_e4</vt:lpstr>
      <vt:lpstr>toit_dim0_e4_proj</vt:lpstr>
      <vt:lpstr>toit_dim90_e10</vt:lpstr>
      <vt:lpstr>toit_dim90_e10_proj</vt:lpstr>
      <vt:lpstr>toit_dim90_e4</vt:lpstr>
      <vt:lpstr>toit_dim90_e4_proj</vt:lpstr>
      <vt:lpstr>Toit_Forme</vt:lpstr>
      <vt:lpstr>toit_larg</vt:lpstr>
      <vt:lpstr>toit_larg_calc</vt:lpstr>
      <vt:lpstr>toit_long</vt:lpstr>
      <vt:lpstr>toit_ramp</vt:lpstr>
      <vt:lpstr>toit_ramp_calc</vt:lpstr>
      <vt:lpstr>Vent_Vb0</vt:lpstr>
      <vt:lpstr>Vent_Zone</vt:lpstr>
      <vt:lpstr>Verif_Bi</vt:lpstr>
      <vt:lpstr>Verif_elem</vt:lpstr>
      <vt:lpstr>Verif_Mono</vt:lpstr>
      <vt:lpstr>vis_resist</vt:lpstr>
      <vt:lpstr>Zone_exclusion_BP</vt:lpstr>
      <vt:lpstr>Zone_exclusion_MP</vt:lpstr>
      <vt:lpstr>Zone_Toit_Bi</vt:lpstr>
      <vt:lpstr>Zone_toit_exclusion</vt:lpstr>
      <vt:lpstr>Zone_Toit_Mono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Florent PRUDHOMME</dc:creator>
  <cp:lastModifiedBy>Florent PRUDHOMME</cp:lastModifiedBy>
  <cp:lastPrinted>2025-10-01T16:20:39Z</cp:lastPrinted>
  <dcterms:created xsi:type="dcterms:W3CDTF">2022-08-31T13:46:24Z</dcterms:created>
  <dcterms:modified xsi:type="dcterms:W3CDTF">2025-10-07T09:55:24Z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0x010100BDD4B2C30472094C9BC2777A424DBB57</vt:lpwstr>
  </property>
</Properties>
</file>